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600" windowHeight="8025"/>
  </bookViews>
  <sheets>
    <sheet name="sandsynlighed" sheetId="1" r:id="rId1"/>
    <sheet name="binomialfordeling" sheetId="2" r:id="rId2"/>
    <sheet name="normalfordeling" sheetId="8" r:id="rId3"/>
    <sheet name="konfidensinterval-normal" sheetId="5" r:id="rId4"/>
    <sheet name="konfidens-binomial" sheetId="6" r:id="rId5"/>
    <sheet name="chi-square-simpel" sheetId="3" r:id="rId6"/>
    <sheet name="chi-square-antalstabel" sheetId="4" r:id="rId7"/>
    <sheet name="Ark1" sheetId="7" r:id="rId8"/>
  </sheets>
  <calcPr calcId="125725"/>
</workbook>
</file>

<file path=xl/calcChain.xml><?xml version="1.0" encoding="utf-8"?>
<calcChain xmlns="http://schemas.openxmlformats.org/spreadsheetml/2006/main">
  <c r="F4" i="8"/>
  <c r="D6" i="3" l="1"/>
  <c r="D5"/>
  <c r="D4"/>
  <c r="N3" i="8" l="1"/>
  <c r="N2"/>
  <c r="R30" l="1"/>
  <c r="B28"/>
  <c r="A18" i="6"/>
  <c r="G4" i="8" l="1"/>
  <c r="E28"/>
  <c r="B27"/>
  <c r="B29"/>
  <c r="C28"/>
  <c r="D28" s="1"/>
  <c r="F28" s="1"/>
  <c r="A17" i="6"/>
  <c r="C6" i="5"/>
  <c r="C13" l="1"/>
  <c r="C11"/>
  <c r="D11"/>
  <c r="C12"/>
  <c r="D13"/>
  <c r="E27" i="8"/>
  <c r="B26"/>
  <c r="C27"/>
  <c r="D27" s="1"/>
  <c r="F27" s="1"/>
  <c r="B30"/>
  <c r="C29"/>
  <c r="D29" s="1"/>
  <c r="F29" s="1"/>
  <c r="E29"/>
  <c r="B8" i="6"/>
  <c r="D12" s="1"/>
  <c r="D12" i="5"/>
  <c r="O2" i="2"/>
  <c r="C26" i="8" l="1"/>
  <c r="D26" s="1"/>
  <c r="F26" s="1"/>
  <c r="E26"/>
  <c r="B25"/>
  <c r="C30"/>
  <c r="D30" s="1"/>
  <c r="F30" s="1"/>
  <c r="E30"/>
  <c r="B31"/>
  <c r="C12" i="6"/>
  <c r="C13"/>
  <c r="D13"/>
  <c r="C14"/>
  <c r="D14"/>
  <c r="B22" i="4"/>
  <c r="I25"/>
  <c r="H25"/>
  <c r="I21"/>
  <c r="I22"/>
  <c r="I23"/>
  <c r="H22"/>
  <c r="H23"/>
  <c r="H21"/>
  <c r="B24"/>
  <c r="C18"/>
  <c r="B18"/>
  <c r="C17"/>
  <c r="B17"/>
  <c r="C16"/>
  <c r="B16"/>
  <c r="D19"/>
  <c r="B9"/>
  <c r="D9" s="1"/>
  <c r="C9"/>
  <c r="D6"/>
  <c r="D7"/>
  <c r="D8"/>
  <c r="E31" i="8" l="1"/>
  <c r="B32"/>
  <c r="C31"/>
  <c r="D31" s="1"/>
  <c r="F31" s="1"/>
  <c r="C25"/>
  <c r="D25" s="1"/>
  <c r="F25" s="1"/>
  <c r="E25"/>
  <c r="B24"/>
  <c r="E5" i="3"/>
  <c r="E6"/>
  <c r="E4"/>
  <c r="I5"/>
  <c r="C11"/>
  <c r="D11"/>
  <c r="E24" i="8" l="1"/>
  <c r="B23"/>
  <c r="C24"/>
  <c r="D24" s="1"/>
  <c r="F24" s="1"/>
  <c r="B33"/>
  <c r="C32"/>
  <c r="D32" s="1"/>
  <c r="F32" s="1"/>
  <c r="E32"/>
  <c r="E11" i="3"/>
  <c r="B13" i="2"/>
  <c r="B2"/>
  <c r="E23" i="8" l="1"/>
  <c r="B22"/>
  <c r="C23"/>
  <c r="D23" s="1"/>
  <c r="F23" s="1"/>
  <c r="B34"/>
  <c r="C33"/>
  <c r="D33" s="1"/>
  <c r="F33" s="1"/>
  <c r="E33"/>
  <c r="O36" i="2"/>
  <c r="O40"/>
  <c r="O44"/>
  <c r="O48"/>
  <c r="O52"/>
  <c r="O37"/>
  <c r="O41"/>
  <c r="O45"/>
  <c r="O49"/>
  <c r="O53"/>
  <c r="O38"/>
  <c r="O42"/>
  <c r="O46"/>
  <c r="O50"/>
  <c r="O54"/>
  <c r="O39"/>
  <c r="O43"/>
  <c r="O47"/>
  <c r="O51"/>
  <c r="O55"/>
  <c r="B10"/>
  <c r="O16"/>
  <c r="O33"/>
  <c r="O32"/>
  <c r="O35"/>
  <c r="O34"/>
  <c r="O31"/>
  <c r="O1"/>
  <c r="B14" s="1"/>
  <c r="O30"/>
  <c r="O29"/>
  <c r="O28"/>
  <c r="O27"/>
  <c r="O26"/>
  <c r="O25"/>
  <c r="O23"/>
  <c r="O19"/>
  <c r="O15"/>
  <c r="P15" s="1"/>
  <c r="O22"/>
  <c r="O18"/>
  <c r="O21"/>
  <c r="O17"/>
  <c r="O24"/>
  <c r="O20"/>
  <c r="B5" i="1"/>
  <c r="B7"/>
  <c r="B9" s="1"/>
  <c r="E34" i="8" l="1"/>
  <c r="C34"/>
  <c r="D34" s="1"/>
  <c r="F34" s="1"/>
  <c r="B35"/>
  <c r="C22"/>
  <c r="D22" s="1"/>
  <c r="F22" s="1"/>
  <c r="E22"/>
  <c r="B21"/>
  <c r="P16" i="2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C21" i="8" l="1"/>
  <c r="D21" s="1"/>
  <c r="F21" s="1"/>
  <c r="E21"/>
  <c r="B20"/>
  <c r="E35"/>
  <c r="B36"/>
  <c r="C35"/>
  <c r="D35" s="1"/>
  <c r="F35" s="1"/>
  <c r="E20" l="1"/>
  <c r="B19"/>
  <c r="C20"/>
  <c r="D20" s="1"/>
  <c r="F20" s="1"/>
  <c r="B37"/>
  <c r="C36"/>
  <c r="D36" s="1"/>
  <c r="F36" s="1"/>
  <c r="E36"/>
  <c r="E19" l="1"/>
  <c r="B18"/>
  <c r="C19"/>
  <c r="D19" s="1"/>
  <c r="F19" s="1"/>
  <c r="B38"/>
  <c r="C37"/>
  <c r="D37" s="1"/>
  <c r="F37" s="1"/>
  <c r="E37"/>
  <c r="C18" l="1"/>
  <c r="D18" s="1"/>
  <c r="F18" s="1"/>
  <c r="E18"/>
  <c r="B17"/>
  <c r="E38"/>
  <c r="B39"/>
  <c r="C38"/>
  <c r="D38" s="1"/>
  <c r="F38" s="1"/>
  <c r="C17" l="1"/>
  <c r="D17" s="1"/>
  <c r="F17" s="1"/>
  <c r="B16"/>
  <c r="E17"/>
  <c r="E39"/>
  <c r="B40"/>
  <c r="C39"/>
  <c r="D39" s="1"/>
  <c r="F39" s="1"/>
  <c r="E16" l="1"/>
  <c r="B15"/>
  <c r="C16"/>
  <c r="D16" s="1"/>
  <c r="F16" s="1"/>
  <c r="B41"/>
  <c r="C40"/>
  <c r="D40" s="1"/>
  <c r="F40" s="1"/>
  <c r="E40"/>
  <c r="E15" l="1"/>
  <c r="B14"/>
  <c r="C15"/>
  <c r="D15" s="1"/>
  <c r="F15" s="1"/>
  <c r="B42"/>
  <c r="C41"/>
  <c r="D41" s="1"/>
  <c r="F41" s="1"/>
  <c r="E41"/>
  <c r="C14" l="1"/>
  <c r="D14" s="1"/>
  <c r="F14" s="1"/>
  <c r="B13"/>
  <c r="E14"/>
  <c r="E42"/>
  <c r="C42"/>
  <c r="D42" s="1"/>
  <c r="F42" s="1"/>
  <c r="B43"/>
  <c r="E43" l="1"/>
  <c r="B44"/>
  <c r="C43"/>
  <c r="D43" s="1"/>
  <c r="F43" s="1"/>
  <c r="C13"/>
  <c r="D13" s="1"/>
  <c r="F13" s="1"/>
  <c r="E13"/>
  <c r="B12"/>
  <c r="E12" l="1"/>
  <c r="B11"/>
  <c r="C12"/>
  <c r="D12" s="1"/>
  <c r="F12" s="1"/>
  <c r="B45"/>
  <c r="C44"/>
  <c r="D44" s="1"/>
  <c r="F44" s="1"/>
  <c r="E44"/>
  <c r="E11" l="1"/>
  <c r="B10"/>
  <c r="C11"/>
  <c r="D11" s="1"/>
  <c r="F11" s="1"/>
  <c r="B46"/>
  <c r="C45"/>
  <c r="D45" s="1"/>
  <c r="F45" s="1"/>
  <c r="E45"/>
  <c r="C10" l="1"/>
  <c r="D10" s="1"/>
  <c r="F10" s="1"/>
  <c r="E10"/>
  <c r="B9"/>
  <c r="E46"/>
  <c r="B47"/>
  <c r="C46"/>
  <c r="D46" s="1"/>
  <c r="F46" s="1"/>
  <c r="C9" l="1"/>
  <c r="D9" s="1"/>
  <c r="F9" s="1"/>
  <c r="E9"/>
  <c r="B8"/>
  <c r="E47"/>
  <c r="B48"/>
  <c r="C47"/>
  <c r="D47" s="1"/>
  <c r="F47" s="1"/>
  <c r="E8" l="1"/>
  <c r="C8"/>
  <c r="D8" s="1"/>
  <c r="F8" s="1"/>
  <c r="C48"/>
  <c r="D48" s="1"/>
  <c r="F48" s="1"/>
  <c r="E48"/>
</calcChain>
</file>

<file path=xl/comments1.xml><?xml version="1.0" encoding="utf-8"?>
<comments xmlns="http://schemas.openxmlformats.org/spreadsheetml/2006/main">
  <authors>
    <author>skhan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skhan:</t>
        </r>
        <r>
          <rPr>
            <sz val="8"/>
            <color indexed="81"/>
            <rFont val="Tahoma"/>
            <family val="2"/>
          </rPr>
          <t xml:space="preserve">
Distance from mean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skhan:</t>
        </r>
        <r>
          <rPr>
            <sz val="8"/>
            <color indexed="81"/>
            <rFont val="Tahoma"/>
            <family val="2"/>
          </rPr>
          <t xml:space="preserve">
Standard Z-Score</t>
        </r>
      </text>
    </comment>
  </commentList>
</comments>
</file>

<file path=xl/sharedStrings.xml><?xml version="1.0" encoding="utf-8"?>
<sst xmlns="http://schemas.openxmlformats.org/spreadsheetml/2006/main" count="88" uniqueCount="79">
  <si>
    <t>Kombination</t>
  </si>
  <si>
    <t>Permutation</t>
  </si>
  <si>
    <t>** uden tilbagelægning, men rækkefølge har betydning</t>
  </si>
  <si>
    <t>** uden tilbagelægning, men rækefølge ligegyldig, f.eks. Lottotallene</t>
  </si>
  <si>
    <t>fiasko</t>
  </si>
  <si>
    <t>prob</t>
  </si>
  <si>
    <t>antal slag N</t>
  </si>
  <si>
    <t>antal kugler i "bowlen"  (N)</t>
  </si>
  <si>
    <t>Antal træk</t>
  </si>
  <si>
    <t>mulige udfald med tilbagelægning</t>
  </si>
  <si>
    <t>sandsynlighed for succes</t>
  </si>
  <si>
    <t>antal succes (stokastisk variabel X)</t>
  </si>
  <si>
    <t>sandsynlighed for den samlede kombination</t>
  </si>
  <si>
    <t>kombination k(n,r)</t>
  </si>
  <si>
    <t>akk</t>
  </si>
  <si>
    <t>E(X)</t>
  </si>
  <si>
    <t>Var(X)</t>
  </si>
  <si>
    <t>spredning</t>
  </si>
  <si>
    <t>Observeret</t>
  </si>
  <si>
    <t>forventet</t>
  </si>
  <si>
    <t>chi-test - sandsynlighed for at observeret er som forventet</t>
  </si>
  <si>
    <t>((obs-forv)^2/(forv))</t>
  </si>
  <si>
    <t>eksempel fra rød bog side 322</t>
  </si>
  <si>
    <t>reservationsmetode</t>
  </si>
  <si>
    <t>kvinder</t>
  </si>
  <si>
    <t>mænd</t>
  </si>
  <si>
    <t>rejsebureau</t>
  </si>
  <si>
    <t>internet</t>
  </si>
  <si>
    <t>flyselskab</t>
  </si>
  <si>
    <t>i alt</t>
  </si>
  <si>
    <t>Observeret værdier</t>
  </si>
  <si>
    <t>test for uafhængighed: Ho: ingen sammenhæng mellem køn og reservationsmetode</t>
  </si>
  <si>
    <t>forventede værdier</t>
  </si>
  <si>
    <t xml:space="preserve">bemærk: her må man prøve at tænke over, hvad Ho hypotesen siger og hvad vi skulle forvente af værdier, hvis denne h0 var opfyldt. </t>
  </si>
  <si>
    <t>chi-square resultat</t>
  </si>
  <si>
    <t>X^2</t>
  </si>
  <si>
    <t>Testresultat (sandsynlighed for Ho)</t>
  </si>
  <si>
    <t>indtast e(x)</t>
  </si>
  <si>
    <t>*** stikprøvens middelværdi</t>
  </si>
  <si>
    <t>stikprøvens stanardafvigelse bliver da</t>
  </si>
  <si>
    <t>*** dette er stikprøvens stanardafvigelse som er s/kvrod n</t>
  </si>
  <si>
    <t>konfidensintervaller</t>
  </si>
  <si>
    <t>Z-værdi</t>
  </si>
  <si>
    <t>min</t>
  </si>
  <si>
    <t>max</t>
  </si>
  <si>
    <t>konfidensinterval for P i normalfordelingen</t>
  </si>
  <si>
    <t>indtast n</t>
  </si>
  <si>
    <t>*** stikprøvens størrelse</t>
  </si>
  <si>
    <t>indtast dit estimat for succes</t>
  </si>
  <si>
    <t>**** f.eks. Hvor mange i stikprøven der stemte på socialdemokratiet</t>
  </si>
  <si>
    <t>beregnet spredning</t>
  </si>
  <si>
    <t>HUSK HUSK: EN STIKPRØVE SKAL VÆRE REPRÆSENTIV</t>
  </si>
  <si>
    <t>HUSK HUSK: EN stikprøve skal være repræsentativ</t>
  </si>
  <si>
    <t>HUSK HUSK: EN stikprøve skal n&gt;30 ellers gælder konvergere det ikke til en normalfordeling</t>
  </si>
  <si>
    <t>hvis n&lt;30 bør i stedet anvendes den såkaldte t-fordeling (Ikke er beregnet)</t>
  </si>
  <si>
    <t>HUSK HUSK: N&gt;30</t>
  </si>
  <si>
    <t>indtast fordelingens standardafvigelse</t>
  </si>
  <si>
    <t>Husk at det er et yderligere krav i dette tilfælde at  n*p&gt;5 og n(1-p)&gt;5</t>
  </si>
  <si>
    <t>f.EKS. SLAG MED EN TERNING</t>
  </si>
  <si>
    <t>Indtast stikprøvens størrelse -n</t>
  </si>
  <si>
    <t>*** populationens spredning (hvis ikke denne kendes anvendes stikprøvens spredning</t>
  </si>
  <si>
    <t>Normalfordeling</t>
  </si>
  <si>
    <t>indtast X-værdi</t>
  </si>
  <si>
    <t>forventet værdi -middel</t>
  </si>
  <si>
    <t>standardafvigelse</t>
  </si>
  <si>
    <t>kummuleret sandsynlighed</t>
  </si>
  <si>
    <t>invers kummuleret sandsynlighed</t>
  </si>
  <si>
    <t>x</t>
  </si>
  <si>
    <r>
      <t>(x-</t>
    </r>
    <r>
      <rPr>
        <b/>
        <sz val="11"/>
        <rFont val="Math1"/>
        <charset val="2"/>
      </rPr>
      <t>m</t>
    </r>
    <r>
      <rPr>
        <b/>
        <sz val="11"/>
        <rFont val="Calibri"/>
        <family val="2"/>
      </rPr>
      <t>)</t>
    </r>
  </si>
  <si>
    <r>
      <t>(x-</t>
    </r>
    <r>
      <rPr>
        <b/>
        <sz val="11"/>
        <rFont val="Math1"/>
        <charset val="2"/>
      </rPr>
      <t>m</t>
    </r>
    <r>
      <rPr>
        <b/>
        <sz val="11"/>
        <rFont val="Calibri"/>
        <family val="2"/>
      </rPr>
      <t>)/</t>
    </r>
    <r>
      <rPr>
        <b/>
        <sz val="11"/>
        <rFont val="Math1"/>
        <charset val="2"/>
      </rPr>
      <t>s</t>
    </r>
  </si>
  <si>
    <t>CDF(x)</t>
  </si>
  <si>
    <t>P(x)</t>
  </si>
  <si>
    <t>Varians</t>
  </si>
  <si>
    <t>Chi-square testen anvendes til at teste om det observerede er lige som det forventede (Ho=obs er det forventede)</t>
  </si>
  <si>
    <t>H1: obs er ej det forventede)</t>
  </si>
  <si>
    <t>signikansniveau</t>
  </si>
  <si>
    <t>ingen fejl</t>
  </si>
  <si>
    <t>1 fejl</t>
  </si>
  <si>
    <t>mere end 1 fejl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</si>
</sst>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_ * #,##0_ ;_ * \-#,##0_ ;_ * &quot;-&quot;??_ ;_ @_ "/>
    <numFmt numFmtId="166" formatCode="0.000"/>
    <numFmt numFmtId="167" formatCode="_ * #,##0.0000000_ ;_ * \-#,##0.0000000_ ;_ * &quot;-&quot;??_ ;_ @_ "/>
    <numFmt numFmtId="168" formatCode="_ * #,##0.0000_ ;_ * \-#,##0.0000_ ;_ * &quot;-&quot;??_ ;_ @_ "/>
    <numFmt numFmtId="169" formatCode="0.0%"/>
    <numFmt numFmtId="170" formatCode="0.0E+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name val="Math1"/>
      <charset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name val="Math1"/>
      <charset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0"/>
      <name val="Calibri"/>
      <family val="2"/>
    </font>
    <font>
      <sz val="11"/>
      <color theme="0"/>
      <name val="Math1"/>
      <charset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/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1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9" fontId="0" fillId="0" borderId="0" xfId="2" applyFont="1"/>
    <xf numFmtId="0" fontId="0" fillId="2" borderId="0" xfId="0" applyFill="1"/>
    <xf numFmtId="0" fontId="0" fillId="2" borderId="1" xfId="0" applyFill="1" applyBorder="1"/>
    <xf numFmtId="2" fontId="0" fillId="2" borderId="0" xfId="0" applyNumberFormat="1" applyFill="1"/>
    <xf numFmtId="2" fontId="0" fillId="0" borderId="0" xfId="0" applyNumberFormat="1"/>
    <xf numFmtId="164" fontId="0" fillId="0" borderId="0" xfId="1" applyNumberFormat="1" applyFont="1"/>
    <xf numFmtId="10" fontId="0" fillId="3" borderId="0" xfId="2" applyNumberFormat="1" applyFont="1" applyFill="1"/>
    <xf numFmtId="10" fontId="0" fillId="0" borderId="0" xfId="2" applyNumberFormat="1" applyFont="1"/>
    <xf numFmtId="0" fontId="0" fillId="4" borderId="0" xfId="0" applyFill="1"/>
    <xf numFmtId="0" fontId="0" fillId="4" borderId="1" xfId="0" applyFill="1" applyBorder="1"/>
    <xf numFmtId="0" fontId="0" fillId="3" borderId="0" xfId="0" applyFill="1"/>
    <xf numFmtId="166" fontId="0" fillId="3" borderId="0" xfId="0" applyNumberFormat="1" applyFill="1"/>
    <xf numFmtId="167" fontId="0" fillId="0" borderId="0" xfId="1" applyNumberFormat="1" applyFont="1"/>
    <xf numFmtId="10" fontId="0" fillId="0" borderId="0" xfId="0" applyNumberFormat="1"/>
    <xf numFmtId="9" fontId="0" fillId="0" borderId="0" xfId="2" applyNumberFormat="1" applyFont="1"/>
    <xf numFmtId="2" fontId="0" fillId="4" borderId="1" xfId="0" applyNumberFormat="1" applyFill="1" applyBorder="1"/>
    <xf numFmtId="0" fontId="2" fillId="0" borderId="0" xfId="0" applyFont="1"/>
    <xf numFmtId="168" fontId="0" fillId="0" borderId="0" xfId="1" applyNumberFormat="1" applyFont="1"/>
    <xf numFmtId="0" fontId="3" fillId="0" borderId="0" xfId="0" applyFont="1"/>
    <xf numFmtId="9" fontId="0" fillId="4" borderId="1" xfId="2" applyFont="1" applyFill="1" applyBorder="1"/>
    <xf numFmtId="0" fontId="4" fillId="0" borderId="0" xfId="0" applyFont="1"/>
    <xf numFmtId="169" fontId="0" fillId="4" borderId="1" xfId="2" applyNumberFormat="1" applyFont="1" applyFill="1" applyBorder="1"/>
    <xf numFmtId="164" fontId="0" fillId="4" borderId="1" xfId="1" applyFont="1" applyFill="1" applyBorder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6" fillId="2" borderId="1" xfId="0" applyFont="1" applyFill="1" applyBorder="1"/>
    <xf numFmtId="0" fontId="9" fillId="0" borderId="0" xfId="0" applyFont="1" applyFill="1"/>
    <xf numFmtId="0" fontId="6" fillId="0" borderId="0" xfId="0" quotePrefix="1" applyFont="1" applyFill="1"/>
    <xf numFmtId="169" fontId="6" fillId="0" borderId="0" xfId="3" applyNumberFormat="1" applyFont="1" applyFill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0" xfId="0" applyFont="1" applyFill="1" applyBorder="1"/>
    <xf numFmtId="2" fontId="6" fillId="0" borderId="0" xfId="0" applyNumberFormat="1" applyFont="1" applyFill="1" applyBorder="1"/>
    <xf numFmtId="169" fontId="6" fillId="0" borderId="0" xfId="3" applyNumberFormat="1" applyFont="1" applyFill="1" applyBorder="1"/>
    <xf numFmtId="10" fontId="6" fillId="0" borderId="6" xfId="3" applyNumberFormat="1" applyFont="1" applyFill="1" applyBorder="1"/>
    <xf numFmtId="0" fontId="6" fillId="2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2" fontId="14" fillId="0" borderId="0" xfId="0" applyNumberFormat="1" applyFont="1" applyFill="1" applyBorder="1"/>
    <xf numFmtId="169" fontId="14" fillId="0" borderId="0" xfId="3" applyNumberFormat="1" applyFont="1" applyFill="1" applyBorder="1"/>
    <xf numFmtId="0" fontId="15" fillId="0" borderId="0" xfId="0" applyFont="1" applyFill="1"/>
    <xf numFmtId="10" fontId="14" fillId="0" borderId="0" xfId="3" applyNumberFormat="1" applyFont="1" applyFill="1" applyBorder="1"/>
    <xf numFmtId="170" fontId="14" fillId="0" borderId="0" xfId="0" applyNumberFormat="1" applyFont="1" applyFill="1" applyBorder="1"/>
    <xf numFmtId="0" fontId="0" fillId="0" borderId="0" xfId="0" applyAlignment="1">
      <alignment horizontal="center"/>
    </xf>
  </cellXfs>
  <cellStyles count="4">
    <cellStyle name="1000-sep (2 dec)" xfId="1" builtinId="3"/>
    <cellStyle name="Normal" xfId="0" builtinId="0"/>
    <cellStyle name="Procent" xfId="2" builtinId="5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binomialfordeling!$O$14</c:f>
              <c:strCache>
                <c:ptCount val="1"/>
                <c:pt idx="0">
                  <c:v>prob</c:v>
                </c:pt>
              </c:strCache>
            </c:strRef>
          </c:tx>
          <c:cat>
            <c:numRef>
              <c:f>binomialfordeling!$N$15:$N$55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binomialfordeling!$O$15:$O$55</c:f>
              <c:numCache>
                <c:formatCode>0.00%</c:formatCode>
                <c:ptCount val="41"/>
                <c:pt idx="0">
                  <c:v>9.9999999999999633E-16</c:v>
                </c:pt>
                <c:pt idx="1">
                  <c:v>1.3499999999999953E-13</c:v>
                </c:pt>
                <c:pt idx="2">
                  <c:v>8.5049999999999715E-12</c:v>
                </c:pt>
                <c:pt idx="3">
                  <c:v>3.3169499999999898E-10</c:v>
                </c:pt>
                <c:pt idx="4">
                  <c:v>8.9557649999999773E-9</c:v>
                </c:pt>
                <c:pt idx="5">
                  <c:v>1.7732414699999956E-7</c:v>
                </c:pt>
                <c:pt idx="6">
                  <c:v>2.6598622049999942E-6</c:v>
                </c:pt>
                <c:pt idx="7">
                  <c:v>3.0778405514999939E-5</c:v>
                </c:pt>
                <c:pt idx="8">
                  <c:v>2.7700564963499958E-4</c:v>
                </c:pt>
                <c:pt idx="9">
                  <c:v>1.9390395474449978E-3</c:v>
                </c:pt>
                <c:pt idx="10">
                  <c:v>1.0470813556202991E-2</c:v>
                </c:pt>
                <c:pt idx="11">
                  <c:v>4.2835146366284979E-2</c:v>
                </c:pt>
                <c:pt idx="12">
                  <c:v>0.12850543909885501</c:v>
                </c:pt>
                <c:pt idx="13">
                  <c:v>0.2668959119745451</c:v>
                </c:pt>
                <c:pt idx="14">
                  <c:v>0.34315188682441516</c:v>
                </c:pt>
                <c:pt idx="15">
                  <c:v>0.20589113209464913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136159616"/>
        <c:axId val="136161152"/>
      </c:barChart>
      <c:catAx>
        <c:axId val="136159616"/>
        <c:scaling>
          <c:orientation val="minMax"/>
        </c:scaling>
        <c:axPos val="b"/>
        <c:numFmt formatCode="General" sourceLinked="1"/>
        <c:tickLblPos val="nextTo"/>
        <c:crossAx val="136161152"/>
        <c:crosses val="autoZero"/>
        <c:auto val="1"/>
        <c:lblAlgn val="ctr"/>
        <c:lblOffset val="100"/>
      </c:catAx>
      <c:valAx>
        <c:axId val="136161152"/>
        <c:scaling>
          <c:orientation val="minMax"/>
        </c:scaling>
        <c:axPos val="l"/>
        <c:majorGridlines/>
        <c:numFmt formatCode="0.00%" sourceLinked="1"/>
        <c:tickLblPos val="nextTo"/>
        <c:crossAx val="1361596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binomialfordeling!$P$14</c:f>
              <c:strCache>
                <c:ptCount val="1"/>
                <c:pt idx="0">
                  <c:v>akk</c:v>
                </c:pt>
              </c:strCache>
            </c:strRef>
          </c:tx>
          <c:marker>
            <c:symbol val="none"/>
          </c:marker>
          <c:xVal>
            <c:numRef>
              <c:f>binomialfordeling!$N$15:$N$55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binomialfordeling!$P$15:$P$55</c:f>
              <c:numCache>
                <c:formatCode>_ * #,##0.00_ ;_ * \-#,##0.00_ ;_ * "-"??_ ;_ @_ </c:formatCode>
                <c:ptCount val="41"/>
                <c:pt idx="0">
                  <c:v>9.9999999999999633E-16</c:v>
                </c:pt>
                <c:pt idx="1">
                  <c:v>1.3599999999999952E-13</c:v>
                </c:pt>
                <c:pt idx="2">
                  <c:v>8.6409999999999718E-12</c:v>
                </c:pt>
                <c:pt idx="3">
                  <c:v>3.4033599999999897E-10</c:v>
                </c:pt>
                <c:pt idx="4">
                  <c:v>9.2961009999999769E-9</c:v>
                </c:pt>
                <c:pt idx="5">
                  <c:v>1.8662024799999954E-7</c:v>
                </c:pt>
                <c:pt idx="6">
                  <c:v>2.8464824529999936E-6</c:v>
                </c:pt>
                <c:pt idx="7">
                  <c:v>3.3624887967999933E-5</c:v>
                </c:pt>
                <c:pt idx="8">
                  <c:v>3.106305376029995E-4</c:v>
                </c:pt>
                <c:pt idx="9">
                  <c:v>2.2496700850479973E-3</c:v>
                </c:pt>
                <c:pt idx="10">
                  <c:v>1.2720483641250988E-2</c:v>
                </c:pt>
                <c:pt idx="11">
                  <c:v>5.5555630007535967E-2</c:v>
                </c:pt>
                <c:pt idx="12">
                  <c:v>0.18406106910639097</c:v>
                </c:pt>
                <c:pt idx="13">
                  <c:v>0.45095698108093607</c:v>
                </c:pt>
                <c:pt idx="14">
                  <c:v>0.79410886790535118</c:v>
                </c:pt>
                <c:pt idx="15">
                  <c:v>1.0000000000000002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136194688"/>
        <c:axId val="136200576"/>
      </c:scatterChart>
      <c:valAx>
        <c:axId val="136194688"/>
        <c:scaling>
          <c:orientation val="minMax"/>
        </c:scaling>
        <c:axPos val="b"/>
        <c:numFmt formatCode="General" sourceLinked="1"/>
        <c:tickLblPos val="nextTo"/>
        <c:crossAx val="136200576"/>
        <c:crosses val="autoZero"/>
        <c:crossBetween val="midCat"/>
      </c:valAx>
      <c:valAx>
        <c:axId val="136200576"/>
        <c:scaling>
          <c:orientation val="minMax"/>
        </c:scaling>
        <c:axPos val="l"/>
        <c:majorGridlines/>
        <c:numFmt formatCode="_ * #,##0.00_ ;_ * \-#,##0.00_ ;_ * &quot;-&quot;??_ ;_ @_ " sourceLinked="1"/>
        <c:tickLblPos val="nextTo"/>
        <c:crossAx val="13619468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99"/>
                </a:solidFill>
                <a:latin typeface="Calibri"/>
                <a:ea typeface="Calibri"/>
                <a:cs typeface="Calibri"/>
              </a:defRPr>
            </a:pPr>
            <a:r>
              <a:rPr lang="da-DK"/>
              <a:t>Normal Distribution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0752351097178709E-2"/>
          <c:y val="9.4812247397214097E-2"/>
          <c:w val="0.82131661442006254"/>
          <c:h val="0.85867695755967521"/>
        </c:manualLayout>
      </c:layout>
      <c:scatterChart>
        <c:scatterStyle val="smoothMarker"/>
        <c:ser>
          <c:idx val="0"/>
          <c:order val="0"/>
          <c:tx>
            <c:v>P(x)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(normalfordeling!$B$8:$B$48,normalfordeling!$B$56:$B$58,normalfordeling!$B$60:$B$62)</c:f>
              <c:numCache>
                <c:formatCode>General</c:formatCode>
                <c:ptCount val="47"/>
                <c:pt idx="0">
                  <c:v>25</c:v>
                </c:pt>
                <c:pt idx="1">
                  <c:v>28</c:v>
                </c:pt>
                <c:pt idx="2">
                  <c:v>31</c:v>
                </c:pt>
                <c:pt idx="3">
                  <c:v>34</c:v>
                </c:pt>
                <c:pt idx="4">
                  <c:v>37</c:v>
                </c:pt>
                <c:pt idx="5">
                  <c:v>40</c:v>
                </c:pt>
                <c:pt idx="6">
                  <c:v>43</c:v>
                </c:pt>
                <c:pt idx="7">
                  <c:v>46</c:v>
                </c:pt>
                <c:pt idx="8">
                  <c:v>49</c:v>
                </c:pt>
                <c:pt idx="9">
                  <c:v>52</c:v>
                </c:pt>
                <c:pt idx="10">
                  <c:v>55</c:v>
                </c:pt>
                <c:pt idx="11">
                  <c:v>58</c:v>
                </c:pt>
                <c:pt idx="12">
                  <c:v>61</c:v>
                </c:pt>
                <c:pt idx="13">
                  <c:v>64</c:v>
                </c:pt>
                <c:pt idx="14">
                  <c:v>67</c:v>
                </c:pt>
                <c:pt idx="15">
                  <c:v>70</c:v>
                </c:pt>
                <c:pt idx="16">
                  <c:v>73</c:v>
                </c:pt>
                <c:pt idx="17">
                  <c:v>76</c:v>
                </c:pt>
                <c:pt idx="18">
                  <c:v>79</c:v>
                </c:pt>
                <c:pt idx="19">
                  <c:v>82</c:v>
                </c:pt>
                <c:pt idx="20">
                  <c:v>85</c:v>
                </c:pt>
                <c:pt idx="21">
                  <c:v>88</c:v>
                </c:pt>
                <c:pt idx="22">
                  <c:v>91</c:v>
                </c:pt>
                <c:pt idx="23">
                  <c:v>94</c:v>
                </c:pt>
                <c:pt idx="24">
                  <c:v>97</c:v>
                </c:pt>
                <c:pt idx="25">
                  <c:v>100</c:v>
                </c:pt>
                <c:pt idx="26">
                  <c:v>103</c:v>
                </c:pt>
                <c:pt idx="27">
                  <c:v>106</c:v>
                </c:pt>
                <c:pt idx="28">
                  <c:v>109</c:v>
                </c:pt>
                <c:pt idx="29">
                  <c:v>112</c:v>
                </c:pt>
                <c:pt idx="30">
                  <c:v>115</c:v>
                </c:pt>
                <c:pt idx="31">
                  <c:v>118</c:v>
                </c:pt>
                <c:pt idx="32">
                  <c:v>121</c:v>
                </c:pt>
                <c:pt idx="33">
                  <c:v>124</c:v>
                </c:pt>
                <c:pt idx="34">
                  <c:v>127</c:v>
                </c:pt>
                <c:pt idx="35">
                  <c:v>130</c:v>
                </c:pt>
                <c:pt idx="36">
                  <c:v>133</c:v>
                </c:pt>
                <c:pt idx="37">
                  <c:v>136</c:v>
                </c:pt>
                <c:pt idx="38">
                  <c:v>139</c:v>
                </c:pt>
                <c:pt idx="39">
                  <c:v>142</c:v>
                </c:pt>
                <c:pt idx="40">
                  <c:v>145</c:v>
                </c:pt>
              </c:numCache>
            </c:numRef>
          </c:xVal>
          <c:yVal>
            <c:numRef>
              <c:f>normalfordeling!$F$8:$F$48</c:f>
              <c:numCache>
                <c:formatCode>0.00%</c:formatCode>
                <c:ptCount val="41"/>
                <c:pt idx="0">
                  <c:v>8.9220150509923572E-6</c:v>
                </c:pt>
                <c:pt idx="1">
                  <c:v>1.946312838609735E-5</c:v>
                </c:pt>
                <c:pt idx="2">
                  <c:v>4.0793462007584798E-5</c:v>
                </c:pt>
                <c:pt idx="3">
                  <c:v>8.2147944564867997E-5</c:v>
                </c:pt>
                <c:pt idx="4">
                  <c:v>1.5893921343098936E-4</c:v>
                </c:pt>
                <c:pt idx="5">
                  <c:v>2.9545656079586714E-4</c:v>
                </c:pt>
                <c:pt idx="6">
                  <c:v>5.2769677219866452E-4</c:v>
                </c:pt>
                <c:pt idx="7">
                  <c:v>9.0553128224570749E-4</c:v>
                </c:pt>
                <c:pt idx="8">
                  <c:v>1.49296868632286E-3</c:v>
                </c:pt>
                <c:pt idx="9">
                  <c:v>2.3649728564154281E-3</c:v>
                </c:pt>
                <c:pt idx="10">
                  <c:v>3.5993977675458709E-3</c:v>
                </c:pt>
                <c:pt idx="11">
                  <c:v>5.2633438867262777E-3</c:v>
                </c:pt>
                <c:pt idx="12">
                  <c:v>7.3947223119637025E-3</c:v>
                </c:pt>
                <c:pt idx="13">
                  <c:v>9.9818310423829913E-3</c:v>
                </c:pt>
                <c:pt idx="14">
                  <c:v>1.2945736998880865E-2</c:v>
                </c:pt>
                <c:pt idx="15">
                  <c:v>1.6131381634609556E-2</c:v>
                </c:pt>
                <c:pt idx="16">
                  <c:v>1.9312770184098851E-2</c:v>
                </c:pt>
                <c:pt idx="17">
                  <c:v>2.221497352611998E-2</c:v>
                </c:pt>
                <c:pt idx="18">
                  <c:v>2.455134268688822E-2</c:v>
                </c:pt>
                <c:pt idx="19">
                  <c:v>2.6069512931697056E-2</c:v>
                </c:pt>
                <c:pt idx="20">
                  <c:v>2.6596152026762181E-2</c:v>
                </c:pt>
                <c:pt idx="21">
                  <c:v>2.6069512931697056E-2</c:v>
                </c:pt>
                <c:pt idx="22">
                  <c:v>2.455134268688822E-2</c:v>
                </c:pt>
                <c:pt idx="23">
                  <c:v>2.221497352611998E-2</c:v>
                </c:pt>
                <c:pt idx="24">
                  <c:v>1.9312770184098851E-2</c:v>
                </c:pt>
                <c:pt idx="25">
                  <c:v>1.6131381634609556E-2</c:v>
                </c:pt>
                <c:pt idx="26">
                  <c:v>1.2945736998880865E-2</c:v>
                </c:pt>
                <c:pt idx="27">
                  <c:v>9.9818310423829913E-3</c:v>
                </c:pt>
                <c:pt idx="28">
                  <c:v>7.3947223119637025E-3</c:v>
                </c:pt>
                <c:pt idx="29">
                  <c:v>5.2633438867262777E-3</c:v>
                </c:pt>
                <c:pt idx="30">
                  <c:v>3.5993977675458709E-3</c:v>
                </c:pt>
                <c:pt idx="31">
                  <c:v>2.3649728564154281E-3</c:v>
                </c:pt>
                <c:pt idx="32">
                  <c:v>1.49296868632286E-3</c:v>
                </c:pt>
                <c:pt idx="33">
                  <c:v>9.0553128224570749E-4</c:v>
                </c:pt>
                <c:pt idx="34">
                  <c:v>5.2769677219866452E-4</c:v>
                </c:pt>
                <c:pt idx="35">
                  <c:v>2.9545656079586714E-4</c:v>
                </c:pt>
                <c:pt idx="36">
                  <c:v>1.5893921343098936E-4</c:v>
                </c:pt>
                <c:pt idx="37">
                  <c:v>8.2147944564867997E-5</c:v>
                </c:pt>
                <c:pt idx="38">
                  <c:v>4.0793462007584798E-5</c:v>
                </c:pt>
                <c:pt idx="39">
                  <c:v>1.946312838609735E-5</c:v>
                </c:pt>
                <c:pt idx="40">
                  <c:v>8.9220150509923572E-6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normalfordeling!$C$52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(normalfordeling!$B$53:$B$54,normalfordeling!$B$56:$B$58,normalfordeling!$B$60:$B$62)</c:f>
              <c:numCache>
                <c:formatCode>General</c:formatCode>
                <c:ptCount val="8"/>
              </c:numCache>
            </c:numRef>
          </c:xVal>
          <c:yVal>
            <c:numRef>
              <c:f>(normalfordeling!$C$53:$C$54,normalfordeling!$C$56:$C$58,normalfordeling!$C$60:$C$62)</c:f>
              <c:numCache>
                <c:formatCode>General</c:formatCode>
                <c:ptCount val="8"/>
              </c:numCache>
            </c:numRef>
          </c:yVal>
          <c:smooth val="1"/>
        </c:ser>
        <c:ser>
          <c:idx val="2"/>
          <c:order val="2"/>
          <c:tx>
            <c:strRef>
              <c:f>normalfordeling!$C$52</c:f>
              <c:strCache>
                <c:ptCount val="1"/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(normalfordeling!$B$53:$B$54,normalfordeling!$B$56:$B$58,normalfordeling!$B$60:$B$62)</c:f>
              <c:numCache>
                <c:formatCode>General</c:formatCode>
                <c:ptCount val="8"/>
              </c:numCache>
            </c:numRef>
          </c:xVal>
          <c:yVal>
            <c:numRef>
              <c:f>(normalfordeling!$C$53:$C$54,normalfordeling!$C$56:$C$58,normalfordeling!$C$60:$C$62)</c:f>
              <c:numCache>
                <c:formatCode>General</c:formatCode>
                <c:ptCount val="8"/>
              </c:numCache>
            </c:numRef>
          </c:yVal>
          <c:smooth val="1"/>
        </c:ser>
        <c:axId val="137139328"/>
        <c:axId val="137140864"/>
      </c:scatterChart>
      <c:valAx>
        <c:axId val="137139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99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37140864"/>
        <c:crosses val="autoZero"/>
        <c:crossBetween val="midCat"/>
      </c:valAx>
      <c:valAx>
        <c:axId val="137140864"/>
        <c:scaling>
          <c:orientation val="minMax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99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37139328"/>
        <c:crosses val="autoZero"/>
        <c:crossBetween val="midCat"/>
      </c:valAx>
      <c:spPr>
        <a:solidFill>
          <a:srgbClr val="0000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8871473354231978"/>
          <c:y val="0.52236181584880215"/>
          <c:w val="9.4043887147335414E-2"/>
          <c:h val="4.293384787798375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99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</c:chart>
  <c:spPr>
    <a:solidFill>
      <a:srgbClr val="333300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FFFF99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99"/>
                </a:solidFill>
                <a:latin typeface="Calibri"/>
                <a:ea typeface="Calibri"/>
                <a:cs typeface="Calibri"/>
              </a:defRPr>
            </a:pPr>
            <a:r>
              <a:rPr lang="da-DK"/>
              <a:t>Cumulative Distribution Function</a:t>
            </a:r>
          </a:p>
        </c:rich>
      </c:tx>
      <c:layout>
        <c:manualLayout>
          <c:xMode val="edge"/>
          <c:yMode val="edge"/>
          <c:x val="6.7069081153588248E-4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0688638082939169E-2"/>
          <c:y val="9.4474317754146067E-2"/>
          <c:w val="0.82159749975165608"/>
          <c:h val="0.8591815312735549"/>
        </c:manualLayout>
      </c:layout>
      <c:scatterChart>
        <c:scatterStyle val="smoothMarker"/>
        <c:ser>
          <c:idx val="0"/>
          <c:order val="0"/>
          <c:tx>
            <c:v>CDF(x)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normalfordeling!$B$8:$B$48</c:f>
              <c:numCache>
                <c:formatCode>General</c:formatCode>
                <c:ptCount val="41"/>
                <c:pt idx="0">
                  <c:v>25</c:v>
                </c:pt>
                <c:pt idx="1">
                  <c:v>28</c:v>
                </c:pt>
                <c:pt idx="2">
                  <c:v>31</c:v>
                </c:pt>
                <c:pt idx="3">
                  <c:v>34</c:v>
                </c:pt>
                <c:pt idx="4">
                  <c:v>37</c:v>
                </c:pt>
                <c:pt idx="5">
                  <c:v>40</c:v>
                </c:pt>
                <c:pt idx="6">
                  <c:v>43</c:v>
                </c:pt>
                <c:pt idx="7">
                  <c:v>46</c:v>
                </c:pt>
                <c:pt idx="8">
                  <c:v>49</c:v>
                </c:pt>
                <c:pt idx="9">
                  <c:v>52</c:v>
                </c:pt>
                <c:pt idx="10">
                  <c:v>55</c:v>
                </c:pt>
                <c:pt idx="11">
                  <c:v>58</c:v>
                </c:pt>
                <c:pt idx="12">
                  <c:v>61</c:v>
                </c:pt>
                <c:pt idx="13">
                  <c:v>64</c:v>
                </c:pt>
                <c:pt idx="14">
                  <c:v>67</c:v>
                </c:pt>
                <c:pt idx="15">
                  <c:v>70</c:v>
                </c:pt>
                <c:pt idx="16">
                  <c:v>73</c:v>
                </c:pt>
                <c:pt idx="17">
                  <c:v>76</c:v>
                </c:pt>
                <c:pt idx="18">
                  <c:v>79</c:v>
                </c:pt>
                <c:pt idx="19">
                  <c:v>82</c:v>
                </c:pt>
                <c:pt idx="20">
                  <c:v>85</c:v>
                </c:pt>
                <c:pt idx="21">
                  <c:v>88</c:v>
                </c:pt>
                <c:pt idx="22">
                  <c:v>91</c:v>
                </c:pt>
                <c:pt idx="23">
                  <c:v>94</c:v>
                </c:pt>
                <c:pt idx="24">
                  <c:v>97</c:v>
                </c:pt>
                <c:pt idx="25">
                  <c:v>100</c:v>
                </c:pt>
                <c:pt idx="26">
                  <c:v>103</c:v>
                </c:pt>
                <c:pt idx="27">
                  <c:v>106</c:v>
                </c:pt>
                <c:pt idx="28">
                  <c:v>109</c:v>
                </c:pt>
                <c:pt idx="29">
                  <c:v>112</c:v>
                </c:pt>
                <c:pt idx="30">
                  <c:v>115</c:v>
                </c:pt>
                <c:pt idx="31">
                  <c:v>118</c:v>
                </c:pt>
                <c:pt idx="32">
                  <c:v>121</c:v>
                </c:pt>
                <c:pt idx="33">
                  <c:v>124</c:v>
                </c:pt>
                <c:pt idx="34">
                  <c:v>127</c:v>
                </c:pt>
                <c:pt idx="35">
                  <c:v>130</c:v>
                </c:pt>
                <c:pt idx="36">
                  <c:v>133</c:v>
                </c:pt>
                <c:pt idx="37">
                  <c:v>136</c:v>
                </c:pt>
                <c:pt idx="38">
                  <c:v>139</c:v>
                </c:pt>
                <c:pt idx="39">
                  <c:v>142</c:v>
                </c:pt>
                <c:pt idx="40">
                  <c:v>145</c:v>
                </c:pt>
              </c:numCache>
            </c:numRef>
          </c:xVal>
          <c:yVal>
            <c:numRef>
              <c:f>normalfordeling!$E$8:$E$48</c:f>
              <c:numCache>
                <c:formatCode>0.0%</c:formatCode>
                <c:ptCount val="41"/>
                <c:pt idx="0">
                  <c:v>3.1671241836783715E-5</c:v>
                </c:pt>
                <c:pt idx="1">
                  <c:v>7.2348043924419514E-5</c:v>
                </c:pt>
                <c:pt idx="2">
                  <c:v>1.591085901577749E-4</c:v>
                </c:pt>
                <c:pt idx="3">
                  <c:v>3.3692926567652215E-4</c:v>
                </c:pt>
                <c:pt idx="4">
                  <c:v>6.8713793791586042E-4</c:v>
                </c:pt>
                <c:pt idx="5">
                  <c:v>1.3498980316301035E-3</c:v>
                </c:pt>
                <c:pt idx="6">
                  <c:v>2.5551303304278683E-3</c:v>
                </c:pt>
                <c:pt idx="7">
                  <c:v>4.661188023718732E-3</c:v>
                </c:pt>
                <c:pt idx="8">
                  <c:v>8.1975359245960444E-3</c:v>
                </c:pt>
                <c:pt idx="9">
                  <c:v>1.390344751349859E-2</c:v>
                </c:pt>
                <c:pt idx="10">
                  <c:v>2.275013194817932E-2</c:v>
                </c:pt>
                <c:pt idx="11">
                  <c:v>3.5930319112925879E-2</c:v>
                </c:pt>
                <c:pt idx="12">
                  <c:v>5.4799291699557995E-2</c:v>
                </c:pt>
                <c:pt idx="13">
                  <c:v>8.0756659233771177E-2</c:v>
                </c:pt>
                <c:pt idx="14">
                  <c:v>0.11506967022170822</c:v>
                </c:pt>
                <c:pt idx="15">
                  <c:v>0.15865525393145707</c:v>
                </c:pt>
                <c:pt idx="16">
                  <c:v>0.21185539858339675</c:v>
                </c:pt>
                <c:pt idx="17">
                  <c:v>0.27425311775007366</c:v>
                </c:pt>
                <c:pt idx="18">
                  <c:v>0.34457825838967582</c:v>
                </c:pt>
                <c:pt idx="19">
                  <c:v>0.42074029056089701</c:v>
                </c:pt>
                <c:pt idx="20">
                  <c:v>0.5</c:v>
                </c:pt>
                <c:pt idx="21">
                  <c:v>0.57925970943910299</c:v>
                </c:pt>
                <c:pt idx="22">
                  <c:v>0.65542174161032418</c:v>
                </c:pt>
                <c:pt idx="23">
                  <c:v>0.72574688224992634</c:v>
                </c:pt>
                <c:pt idx="24">
                  <c:v>0.78814460141660325</c:v>
                </c:pt>
                <c:pt idx="25">
                  <c:v>0.84134474606854293</c:v>
                </c:pt>
                <c:pt idx="26">
                  <c:v>0.88493032977829178</c:v>
                </c:pt>
                <c:pt idx="27">
                  <c:v>0.91924334076622882</c:v>
                </c:pt>
                <c:pt idx="28">
                  <c:v>0.94520070830044201</c:v>
                </c:pt>
                <c:pt idx="29">
                  <c:v>0.96406968088707412</c:v>
                </c:pt>
                <c:pt idx="30">
                  <c:v>0.97724986805182068</c:v>
                </c:pt>
                <c:pt idx="31">
                  <c:v>0.98609655248650141</c:v>
                </c:pt>
                <c:pt idx="32">
                  <c:v>0.99180246407540396</c:v>
                </c:pt>
                <c:pt idx="33">
                  <c:v>0.99533881197628127</c:v>
                </c:pt>
                <c:pt idx="34">
                  <c:v>0.99744486966957213</c:v>
                </c:pt>
                <c:pt idx="35">
                  <c:v>0.9986501019683699</c:v>
                </c:pt>
                <c:pt idx="36">
                  <c:v>0.99931286206208414</c:v>
                </c:pt>
                <c:pt idx="37">
                  <c:v>0.99966307073432348</c:v>
                </c:pt>
                <c:pt idx="38">
                  <c:v>0.99984089140984223</c:v>
                </c:pt>
                <c:pt idx="39">
                  <c:v>0.99992765195607558</c:v>
                </c:pt>
                <c:pt idx="40">
                  <c:v>0.99996832875816322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normalfordeling!$F$52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normalfordeling!$E$53:$E$54</c:f>
              <c:numCache>
                <c:formatCode>General</c:formatCode>
                <c:ptCount val="2"/>
              </c:numCache>
            </c:numRef>
          </c:xVal>
          <c:yVal>
            <c:numRef>
              <c:f>normalfordeling!$F$53:$F$54</c:f>
              <c:numCache>
                <c:formatCode>General</c:formatCode>
                <c:ptCount val="2"/>
              </c:numCache>
            </c:numRef>
          </c:yVal>
          <c:smooth val="1"/>
        </c:ser>
        <c:axId val="138642176"/>
        <c:axId val="138643712"/>
      </c:scatterChart>
      <c:valAx>
        <c:axId val="138642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99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38643712"/>
        <c:crosses val="autoZero"/>
        <c:crossBetween val="midCat"/>
      </c:valAx>
      <c:valAx>
        <c:axId val="138643712"/>
        <c:scaling>
          <c:orientation val="minMax"/>
        </c:scaling>
        <c:axPos val="l"/>
        <c:majorGridlines/>
        <c:numFmt formatCode="0.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99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38642176"/>
        <c:crosses val="autoZero"/>
        <c:crossBetween val="midCat"/>
      </c:valAx>
      <c:spPr>
        <a:solidFill>
          <a:srgbClr val="00000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385108545317046"/>
          <c:y val="0.47237158877073032"/>
          <c:w val="0.11893601901166836"/>
          <c:h val="7.130137188992156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99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</c:chart>
  <c:spPr>
    <a:solidFill>
      <a:srgbClr val="333300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FFFF99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0</xdr:row>
      <xdr:rowOff>185737</xdr:rowOff>
    </xdr:from>
    <xdr:to>
      <xdr:col>11</xdr:col>
      <xdr:colOff>485775</xdr:colOff>
      <xdr:row>15</xdr:row>
      <xdr:rowOff>71437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15</xdr:row>
      <xdr:rowOff>128587</xdr:rowOff>
    </xdr:from>
    <xdr:to>
      <xdr:col>11</xdr:col>
      <xdr:colOff>476250</xdr:colOff>
      <xdr:row>30</xdr:row>
      <xdr:rowOff>14287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92076</xdr:rowOff>
    </xdr:from>
    <xdr:to>
      <xdr:col>7</xdr:col>
      <xdr:colOff>275165</xdr:colOff>
      <xdr:row>32</xdr:row>
      <xdr:rowOff>137584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347134</xdr:colOff>
      <xdr:row>5</xdr:row>
      <xdr:rowOff>41275</xdr:rowOff>
    </xdr:from>
    <xdr:to>
      <xdr:col>19</xdr:col>
      <xdr:colOff>328083</xdr:colOff>
      <xdr:row>32</xdr:row>
      <xdr:rowOff>95250</xdr:rowOff>
    </xdr:to>
    <xdr:graphicFrame macro="">
      <xdr:nvGraphicFramePr>
        <xdr:cNvPr id="3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B3" sqref="B3"/>
    </sheetView>
  </sheetViews>
  <sheetFormatPr defaultRowHeight="15"/>
  <cols>
    <col min="1" max="1" width="41.85546875" bestFit="1" customWidth="1"/>
    <col min="2" max="2" width="25.5703125" customWidth="1"/>
    <col min="4" max="4" width="19" bestFit="1" customWidth="1"/>
    <col min="6" max="6" width="17.42578125" bestFit="1" customWidth="1"/>
  </cols>
  <sheetData>
    <row r="1" spans="1:9">
      <c r="A1" t="s">
        <v>7</v>
      </c>
      <c r="B1" s="5">
        <v>30</v>
      </c>
    </row>
    <row r="2" spans="1:9">
      <c r="A2" t="s">
        <v>8</v>
      </c>
      <c r="B2" s="5">
        <v>2</v>
      </c>
    </row>
    <row r="5" spans="1:9">
      <c r="A5" t="s">
        <v>9</v>
      </c>
      <c r="B5" s="1">
        <f>B1^B2</f>
        <v>900</v>
      </c>
    </row>
    <row r="7" spans="1:9">
      <c r="A7" t="s">
        <v>1</v>
      </c>
      <c r="B7" s="1">
        <f>FACT(B1)/FACT(B1-B2)</f>
        <v>870.00000000000034</v>
      </c>
      <c r="F7" t="s">
        <v>2</v>
      </c>
    </row>
    <row r="9" spans="1:9">
      <c r="A9" t="s">
        <v>0</v>
      </c>
      <c r="B9" s="2">
        <f>B7/FACT(B2)</f>
        <v>435.00000000000017</v>
      </c>
      <c r="F9" t="s">
        <v>3</v>
      </c>
    </row>
    <row r="13" spans="1:9">
      <c r="I1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workbookViewId="0">
      <selection activeCell="A8" sqref="A8"/>
    </sheetView>
  </sheetViews>
  <sheetFormatPr defaultRowHeight="15"/>
  <cols>
    <col min="1" max="1" width="41.85546875" bestFit="1" customWidth="1"/>
    <col min="2" max="2" width="12" bestFit="1" customWidth="1"/>
    <col min="8" max="8" width="12" bestFit="1" customWidth="1"/>
    <col min="14" max="14" width="17.85546875" bestFit="1" customWidth="1"/>
    <col min="15" max="15" width="18.42578125" bestFit="1" customWidth="1"/>
  </cols>
  <sheetData>
    <row r="1" spans="1:16">
      <c r="A1" t="s">
        <v>10</v>
      </c>
      <c r="B1" s="6">
        <v>0.9</v>
      </c>
      <c r="N1" t="s">
        <v>16</v>
      </c>
      <c r="O1" s="13">
        <f>B4*B1*B2</f>
        <v>1.3499999999999996</v>
      </c>
    </row>
    <row r="2" spans="1:16">
      <c r="A2" t="s">
        <v>4</v>
      </c>
      <c r="B2" s="7">
        <f>1-B1</f>
        <v>9.9999999999999978E-2</v>
      </c>
      <c r="N2" t="s">
        <v>13</v>
      </c>
      <c r="O2" s="1">
        <f>COMBIN(B4,B6)</f>
        <v>1</v>
      </c>
    </row>
    <row r="4" spans="1:16">
      <c r="A4" t="s">
        <v>6</v>
      </c>
      <c r="B4" s="4">
        <v>15</v>
      </c>
    </row>
    <row r="6" spans="1:16">
      <c r="A6" t="s">
        <v>11</v>
      </c>
      <c r="B6" s="4">
        <v>15</v>
      </c>
    </row>
    <row r="9" spans="1:16">
      <c r="B9" s="1"/>
    </row>
    <row r="10" spans="1:16">
      <c r="A10" t="s">
        <v>12</v>
      </c>
      <c r="B10" s="9">
        <f>O2*B1^B6*B2^(B4-B6)</f>
        <v>0.20589113209464913</v>
      </c>
    </row>
    <row r="13" spans="1:16">
      <c r="A13" t="s">
        <v>15</v>
      </c>
      <c r="B13" s="13">
        <f>B4*B1</f>
        <v>13.5</v>
      </c>
    </row>
    <row r="14" spans="1:16">
      <c r="A14" t="s">
        <v>17</v>
      </c>
      <c r="B14" s="14">
        <f>SQRT(O1)</f>
        <v>1.1618950038622249</v>
      </c>
      <c r="O14" t="s">
        <v>5</v>
      </c>
      <c r="P14" t="s">
        <v>14</v>
      </c>
    </row>
    <row r="15" spans="1:16">
      <c r="N15">
        <v>0</v>
      </c>
      <c r="O15" s="10">
        <f t="shared" ref="O15:O35" si="0">$B$1^N15*$B$2^($B$4-N15)*COMBIN($B$4,N15)</f>
        <v>9.9999999999999633E-16</v>
      </c>
      <c r="P15" s="8">
        <f>O15</f>
        <v>9.9999999999999633E-16</v>
      </c>
    </row>
    <row r="16" spans="1:16">
      <c r="N16">
        <v>1</v>
      </c>
      <c r="O16" s="10">
        <f t="shared" si="0"/>
        <v>1.3499999999999953E-13</v>
      </c>
      <c r="P16" s="8">
        <f t="shared" ref="P16:P35" si="1">O16+P15</f>
        <v>1.3599999999999952E-13</v>
      </c>
    </row>
    <row r="17" spans="1:16">
      <c r="N17">
        <v>2</v>
      </c>
      <c r="O17" s="10">
        <f t="shared" si="0"/>
        <v>8.5049999999999715E-12</v>
      </c>
      <c r="P17" s="8">
        <f t="shared" si="1"/>
        <v>8.6409999999999718E-12</v>
      </c>
    </row>
    <row r="18" spans="1:16">
      <c r="N18">
        <v>3</v>
      </c>
      <c r="O18" s="10">
        <f t="shared" si="0"/>
        <v>3.3169499999999898E-10</v>
      </c>
      <c r="P18" s="8">
        <f t="shared" si="1"/>
        <v>3.4033599999999897E-10</v>
      </c>
    </row>
    <row r="19" spans="1:16">
      <c r="A19" s="17"/>
      <c r="N19">
        <v>4</v>
      </c>
      <c r="O19" s="10">
        <f t="shared" si="0"/>
        <v>8.9557649999999773E-9</v>
      </c>
      <c r="P19" s="8">
        <f t="shared" si="1"/>
        <v>9.2961009999999769E-9</v>
      </c>
    </row>
    <row r="20" spans="1:16">
      <c r="N20">
        <v>5</v>
      </c>
      <c r="O20" s="10">
        <f t="shared" si="0"/>
        <v>1.7732414699999956E-7</v>
      </c>
      <c r="P20" s="8">
        <f t="shared" si="1"/>
        <v>1.8662024799999954E-7</v>
      </c>
    </row>
    <row r="21" spans="1:16">
      <c r="N21">
        <v>6</v>
      </c>
      <c r="O21" s="10">
        <f t="shared" si="0"/>
        <v>2.6598622049999942E-6</v>
      </c>
      <c r="P21" s="8">
        <f t="shared" si="1"/>
        <v>2.8464824529999936E-6</v>
      </c>
    </row>
    <row r="22" spans="1:16">
      <c r="N22">
        <v>7</v>
      </c>
      <c r="O22" s="10">
        <f t="shared" si="0"/>
        <v>3.0778405514999939E-5</v>
      </c>
      <c r="P22" s="8">
        <f t="shared" si="1"/>
        <v>3.3624887967999933E-5</v>
      </c>
    </row>
    <row r="23" spans="1:16">
      <c r="N23">
        <v>8</v>
      </c>
      <c r="O23" s="10">
        <f t="shared" si="0"/>
        <v>2.7700564963499958E-4</v>
      </c>
      <c r="P23" s="8">
        <f t="shared" si="1"/>
        <v>3.106305376029995E-4</v>
      </c>
    </row>
    <row r="24" spans="1:16">
      <c r="N24">
        <v>9</v>
      </c>
      <c r="O24" s="10">
        <f t="shared" si="0"/>
        <v>1.9390395474449978E-3</v>
      </c>
      <c r="P24" s="8">
        <f t="shared" si="1"/>
        <v>2.2496700850479973E-3</v>
      </c>
    </row>
    <row r="25" spans="1:16">
      <c r="B25" s="15"/>
      <c r="N25">
        <v>10</v>
      </c>
      <c r="O25" s="10">
        <f t="shared" si="0"/>
        <v>1.0470813556202991E-2</v>
      </c>
      <c r="P25" s="8">
        <f t="shared" si="1"/>
        <v>1.2720483641250988E-2</v>
      </c>
    </row>
    <row r="26" spans="1:16">
      <c r="N26">
        <v>11</v>
      </c>
      <c r="O26" s="10">
        <f t="shared" si="0"/>
        <v>4.2835146366284979E-2</v>
      </c>
      <c r="P26" s="8">
        <f t="shared" si="1"/>
        <v>5.5555630007535967E-2</v>
      </c>
    </row>
    <row r="27" spans="1:16">
      <c r="N27">
        <v>12</v>
      </c>
      <c r="O27" s="10">
        <f t="shared" si="0"/>
        <v>0.12850543909885501</v>
      </c>
      <c r="P27" s="8">
        <f t="shared" si="1"/>
        <v>0.18406106910639097</v>
      </c>
    </row>
    <row r="28" spans="1:16">
      <c r="N28">
        <v>13</v>
      </c>
      <c r="O28" s="10">
        <f t="shared" si="0"/>
        <v>0.2668959119745451</v>
      </c>
      <c r="P28" s="8">
        <f t="shared" si="1"/>
        <v>0.45095698108093607</v>
      </c>
    </row>
    <row r="29" spans="1:16">
      <c r="N29">
        <v>14</v>
      </c>
      <c r="O29" s="10">
        <f t="shared" si="0"/>
        <v>0.34315188682441516</v>
      </c>
      <c r="P29" s="8">
        <f t="shared" si="1"/>
        <v>0.79410886790535118</v>
      </c>
    </row>
    <row r="30" spans="1:16">
      <c r="N30">
        <v>15</v>
      </c>
      <c r="O30" s="10">
        <f t="shared" si="0"/>
        <v>0.20589113209464913</v>
      </c>
      <c r="P30" s="8">
        <f t="shared" si="1"/>
        <v>1.0000000000000002</v>
      </c>
    </row>
    <row r="31" spans="1:16">
      <c r="N31">
        <v>16</v>
      </c>
      <c r="O31" s="10" t="e">
        <f t="shared" si="0"/>
        <v>#NUM!</v>
      </c>
      <c r="P31" s="8" t="e">
        <f t="shared" si="1"/>
        <v>#NUM!</v>
      </c>
    </row>
    <row r="32" spans="1:16">
      <c r="N32">
        <v>17</v>
      </c>
      <c r="O32" s="10" t="e">
        <f t="shared" si="0"/>
        <v>#NUM!</v>
      </c>
      <c r="P32" s="8" t="e">
        <f t="shared" si="1"/>
        <v>#NUM!</v>
      </c>
    </row>
    <row r="33" spans="14:16">
      <c r="N33">
        <v>18</v>
      </c>
      <c r="O33" s="10" t="e">
        <f t="shared" si="0"/>
        <v>#NUM!</v>
      </c>
      <c r="P33" s="8" t="e">
        <f t="shared" si="1"/>
        <v>#NUM!</v>
      </c>
    </row>
    <row r="34" spans="14:16">
      <c r="N34">
        <v>19</v>
      </c>
      <c r="O34" s="10" t="e">
        <f t="shared" si="0"/>
        <v>#NUM!</v>
      </c>
      <c r="P34" s="8" t="e">
        <f t="shared" si="1"/>
        <v>#NUM!</v>
      </c>
    </row>
    <row r="35" spans="14:16">
      <c r="N35">
        <v>20</v>
      </c>
      <c r="O35" s="10" t="e">
        <f t="shared" si="0"/>
        <v>#NUM!</v>
      </c>
      <c r="P35" s="8" t="e">
        <f t="shared" si="1"/>
        <v>#NUM!</v>
      </c>
    </row>
    <row r="36" spans="14:16">
      <c r="N36">
        <v>21</v>
      </c>
      <c r="O36" s="10" t="e">
        <f t="shared" ref="O36:O55" si="2">$B$1^N36*$B$2^($B$4-N36)*COMBIN($B$4,N36)</f>
        <v>#NUM!</v>
      </c>
      <c r="P36" s="8" t="e">
        <f t="shared" ref="P36:P55" si="3">O36+P35</f>
        <v>#NUM!</v>
      </c>
    </row>
    <row r="37" spans="14:16">
      <c r="N37">
        <v>22</v>
      </c>
      <c r="O37" s="10" t="e">
        <f t="shared" si="2"/>
        <v>#NUM!</v>
      </c>
      <c r="P37" s="8" t="e">
        <f t="shared" si="3"/>
        <v>#NUM!</v>
      </c>
    </row>
    <row r="38" spans="14:16">
      <c r="N38">
        <v>23</v>
      </c>
      <c r="O38" s="10" t="e">
        <f t="shared" si="2"/>
        <v>#NUM!</v>
      </c>
      <c r="P38" s="8" t="e">
        <f t="shared" si="3"/>
        <v>#NUM!</v>
      </c>
    </row>
    <row r="39" spans="14:16">
      <c r="N39">
        <v>24</v>
      </c>
      <c r="O39" s="10" t="e">
        <f t="shared" si="2"/>
        <v>#NUM!</v>
      </c>
      <c r="P39" s="8" t="e">
        <f t="shared" si="3"/>
        <v>#NUM!</v>
      </c>
    </row>
    <row r="40" spans="14:16">
      <c r="N40">
        <v>25</v>
      </c>
      <c r="O40" s="10" t="e">
        <f t="shared" si="2"/>
        <v>#NUM!</v>
      </c>
      <c r="P40" s="8" t="e">
        <f t="shared" si="3"/>
        <v>#NUM!</v>
      </c>
    </row>
    <row r="41" spans="14:16">
      <c r="N41">
        <v>26</v>
      </c>
      <c r="O41" s="10" t="e">
        <f t="shared" si="2"/>
        <v>#NUM!</v>
      </c>
      <c r="P41" s="8" t="e">
        <f t="shared" si="3"/>
        <v>#NUM!</v>
      </c>
    </row>
    <row r="42" spans="14:16">
      <c r="N42">
        <v>27</v>
      </c>
      <c r="O42" s="10" t="e">
        <f t="shared" si="2"/>
        <v>#NUM!</v>
      </c>
      <c r="P42" s="8" t="e">
        <f t="shared" si="3"/>
        <v>#NUM!</v>
      </c>
    </row>
    <row r="43" spans="14:16">
      <c r="N43">
        <v>28</v>
      </c>
      <c r="O43" s="10" t="e">
        <f t="shared" si="2"/>
        <v>#NUM!</v>
      </c>
      <c r="P43" s="8" t="e">
        <f t="shared" si="3"/>
        <v>#NUM!</v>
      </c>
    </row>
    <row r="44" spans="14:16">
      <c r="N44">
        <v>29</v>
      </c>
      <c r="O44" s="10" t="e">
        <f t="shared" si="2"/>
        <v>#NUM!</v>
      </c>
      <c r="P44" s="8" t="e">
        <f t="shared" si="3"/>
        <v>#NUM!</v>
      </c>
    </row>
    <row r="45" spans="14:16">
      <c r="N45">
        <v>30</v>
      </c>
      <c r="O45" s="10" t="e">
        <f t="shared" si="2"/>
        <v>#NUM!</v>
      </c>
      <c r="P45" s="8" t="e">
        <f t="shared" si="3"/>
        <v>#NUM!</v>
      </c>
    </row>
    <row r="46" spans="14:16">
      <c r="N46">
        <v>31</v>
      </c>
      <c r="O46" s="10" t="e">
        <f t="shared" si="2"/>
        <v>#NUM!</v>
      </c>
      <c r="P46" s="8" t="e">
        <f t="shared" si="3"/>
        <v>#NUM!</v>
      </c>
    </row>
    <row r="47" spans="14:16">
      <c r="N47">
        <v>32</v>
      </c>
      <c r="O47" s="10" t="e">
        <f t="shared" si="2"/>
        <v>#NUM!</v>
      </c>
      <c r="P47" s="8" t="e">
        <f t="shared" si="3"/>
        <v>#NUM!</v>
      </c>
    </row>
    <row r="48" spans="14:16">
      <c r="N48">
        <v>33</v>
      </c>
      <c r="O48" s="10" t="e">
        <f t="shared" si="2"/>
        <v>#NUM!</v>
      </c>
      <c r="P48" s="8" t="e">
        <f t="shared" si="3"/>
        <v>#NUM!</v>
      </c>
    </row>
    <row r="49" spans="14:16">
      <c r="N49">
        <v>34</v>
      </c>
      <c r="O49" s="10" t="e">
        <f t="shared" si="2"/>
        <v>#NUM!</v>
      </c>
      <c r="P49" s="8" t="e">
        <f t="shared" si="3"/>
        <v>#NUM!</v>
      </c>
    </row>
    <row r="50" spans="14:16">
      <c r="N50">
        <v>35</v>
      </c>
      <c r="O50" s="10" t="e">
        <f t="shared" si="2"/>
        <v>#NUM!</v>
      </c>
      <c r="P50" s="8" t="e">
        <f t="shared" si="3"/>
        <v>#NUM!</v>
      </c>
    </row>
    <row r="51" spans="14:16">
      <c r="N51">
        <v>36</v>
      </c>
      <c r="O51" s="10" t="e">
        <f t="shared" si="2"/>
        <v>#NUM!</v>
      </c>
      <c r="P51" s="8" t="e">
        <f t="shared" si="3"/>
        <v>#NUM!</v>
      </c>
    </row>
    <row r="52" spans="14:16">
      <c r="N52">
        <v>37</v>
      </c>
      <c r="O52" s="10" t="e">
        <f t="shared" si="2"/>
        <v>#NUM!</v>
      </c>
      <c r="P52" s="8" t="e">
        <f t="shared" si="3"/>
        <v>#NUM!</v>
      </c>
    </row>
    <row r="53" spans="14:16">
      <c r="N53">
        <v>38</v>
      </c>
      <c r="O53" s="10" t="e">
        <f t="shared" si="2"/>
        <v>#NUM!</v>
      </c>
      <c r="P53" s="8" t="e">
        <f t="shared" si="3"/>
        <v>#NUM!</v>
      </c>
    </row>
    <row r="54" spans="14:16">
      <c r="N54">
        <v>39</v>
      </c>
      <c r="O54" s="10" t="e">
        <f t="shared" si="2"/>
        <v>#NUM!</v>
      </c>
      <c r="P54" s="8" t="e">
        <f t="shared" si="3"/>
        <v>#NUM!</v>
      </c>
    </row>
    <row r="55" spans="14:16">
      <c r="N55">
        <v>40</v>
      </c>
      <c r="O55" s="10" t="e">
        <f t="shared" si="2"/>
        <v>#NUM!</v>
      </c>
      <c r="P55" s="8" t="e">
        <f t="shared" si="3"/>
        <v>#NUM!</v>
      </c>
    </row>
    <row r="58" spans="14:16">
      <c r="O58" s="1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zoomScale="90" zoomScaleNormal="90" workbookViewId="0">
      <selection activeCell="F5" sqref="F5"/>
    </sheetView>
  </sheetViews>
  <sheetFormatPr defaultRowHeight="15"/>
  <cols>
    <col min="1" max="1" width="22.85546875" style="27" customWidth="1"/>
    <col min="2" max="5" width="9.140625" style="27" customWidth="1"/>
    <col min="6" max="6" width="25.7109375" style="27" bestFit="1" customWidth="1"/>
    <col min="7" max="7" width="31.140625" style="27" customWidth="1"/>
    <col min="8" max="8" width="9.140625" style="27" customWidth="1"/>
    <col min="9" max="9" width="2.85546875" style="27" customWidth="1"/>
    <col min="10" max="256" width="9.140625" style="27"/>
    <col min="257" max="257" width="22.85546875" style="27" customWidth="1"/>
    <col min="258" max="261" width="9.140625" style="27" customWidth="1"/>
    <col min="262" max="262" width="25.7109375" style="27" bestFit="1" customWidth="1"/>
    <col min="263" max="263" width="24.42578125" style="27" customWidth="1"/>
    <col min="264" max="264" width="9.140625" style="27" customWidth="1"/>
    <col min="265" max="265" width="2.85546875" style="27" customWidth="1"/>
    <col min="266" max="512" width="9.140625" style="27"/>
    <col min="513" max="513" width="22.85546875" style="27" customWidth="1"/>
    <col min="514" max="517" width="9.140625" style="27" customWidth="1"/>
    <col min="518" max="518" width="25.7109375" style="27" bestFit="1" customWidth="1"/>
    <col min="519" max="519" width="24.42578125" style="27" customWidth="1"/>
    <col min="520" max="520" width="9.140625" style="27" customWidth="1"/>
    <col min="521" max="521" width="2.85546875" style="27" customWidth="1"/>
    <col min="522" max="768" width="9.140625" style="27"/>
    <col min="769" max="769" width="22.85546875" style="27" customWidth="1"/>
    <col min="770" max="773" width="9.140625" style="27" customWidth="1"/>
    <col min="774" max="774" width="25.7109375" style="27" bestFit="1" customWidth="1"/>
    <col min="775" max="775" width="24.42578125" style="27" customWidth="1"/>
    <col min="776" max="776" width="9.140625" style="27" customWidth="1"/>
    <col min="777" max="777" width="2.85546875" style="27" customWidth="1"/>
    <col min="778" max="1024" width="9.140625" style="27"/>
    <col min="1025" max="1025" width="22.85546875" style="27" customWidth="1"/>
    <col min="1026" max="1029" width="9.140625" style="27" customWidth="1"/>
    <col min="1030" max="1030" width="25.7109375" style="27" bestFit="1" customWidth="1"/>
    <col min="1031" max="1031" width="24.42578125" style="27" customWidth="1"/>
    <col min="1032" max="1032" width="9.140625" style="27" customWidth="1"/>
    <col min="1033" max="1033" width="2.85546875" style="27" customWidth="1"/>
    <col min="1034" max="1280" width="9.140625" style="27"/>
    <col min="1281" max="1281" width="22.85546875" style="27" customWidth="1"/>
    <col min="1282" max="1285" width="9.140625" style="27" customWidth="1"/>
    <col min="1286" max="1286" width="25.7109375" style="27" bestFit="1" customWidth="1"/>
    <col min="1287" max="1287" width="24.42578125" style="27" customWidth="1"/>
    <col min="1288" max="1288" width="9.140625" style="27" customWidth="1"/>
    <col min="1289" max="1289" width="2.85546875" style="27" customWidth="1"/>
    <col min="1290" max="1536" width="9.140625" style="27"/>
    <col min="1537" max="1537" width="22.85546875" style="27" customWidth="1"/>
    <col min="1538" max="1541" width="9.140625" style="27" customWidth="1"/>
    <col min="1542" max="1542" width="25.7109375" style="27" bestFit="1" customWidth="1"/>
    <col min="1543" max="1543" width="24.42578125" style="27" customWidth="1"/>
    <col min="1544" max="1544" width="9.140625" style="27" customWidth="1"/>
    <col min="1545" max="1545" width="2.85546875" style="27" customWidth="1"/>
    <col min="1546" max="1792" width="9.140625" style="27"/>
    <col min="1793" max="1793" width="22.85546875" style="27" customWidth="1"/>
    <col min="1794" max="1797" width="9.140625" style="27" customWidth="1"/>
    <col min="1798" max="1798" width="25.7109375" style="27" bestFit="1" customWidth="1"/>
    <col min="1799" max="1799" width="24.42578125" style="27" customWidth="1"/>
    <col min="1800" max="1800" width="9.140625" style="27" customWidth="1"/>
    <col min="1801" max="1801" width="2.85546875" style="27" customWidth="1"/>
    <col min="1802" max="2048" width="9.140625" style="27"/>
    <col min="2049" max="2049" width="22.85546875" style="27" customWidth="1"/>
    <col min="2050" max="2053" width="9.140625" style="27" customWidth="1"/>
    <col min="2054" max="2054" width="25.7109375" style="27" bestFit="1" customWidth="1"/>
    <col min="2055" max="2055" width="24.42578125" style="27" customWidth="1"/>
    <col min="2056" max="2056" width="9.140625" style="27" customWidth="1"/>
    <col min="2057" max="2057" width="2.85546875" style="27" customWidth="1"/>
    <col min="2058" max="2304" width="9.140625" style="27"/>
    <col min="2305" max="2305" width="22.85546875" style="27" customWidth="1"/>
    <col min="2306" max="2309" width="9.140625" style="27" customWidth="1"/>
    <col min="2310" max="2310" width="25.7109375" style="27" bestFit="1" customWidth="1"/>
    <col min="2311" max="2311" width="24.42578125" style="27" customWidth="1"/>
    <col min="2312" max="2312" width="9.140625" style="27" customWidth="1"/>
    <col min="2313" max="2313" width="2.85546875" style="27" customWidth="1"/>
    <col min="2314" max="2560" width="9.140625" style="27"/>
    <col min="2561" max="2561" width="22.85546875" style="27" customWidth="1"/>
    <col min="2562" max="2565" width="9.140625" style="27" customWidth="1"/>
    <col min="2566" max="2566" width="25.7109375" style="27" bestFit="1" customWidth="1"/>
    <col min="2567" max="2567" width="24.42578125" style="27" customWidth="1"/>
    <col min="2568" max="2568" width="9.140625" style="27" customWidth="1"/>
    <col min="2569" max="2569" width="2.85546875" style="27" customWidth="1"/>
    <col min="2570" max="2816" width="9.140625" style="27"/>
    <col min="2817" max="2817" width="22.85546875" style="27" customWidth="1"/>
    <col min="2818" max="2821" width="9.140625" style="27" customWidth="1"/>
    <col min="2822" max="2822" width="25.7109375" style="27" bestFit="1" customWidth="1"/>
    <col min="2823" max="2823" width="24.42578125" style="27" customWidth="1"/>
    <col min="2824" max="2824" width="9.140625" style="27" customWidth="1"/>
    <col min="2825" max="2825" width="2.85546875" style="27" customWidth="1"/>
    <col min="2826" max="3072" width="9.140625" style="27"/>
    <col min="3073" max="3073" width="22.85546875" style="27" customWidth="1"/>
    <col min="3074" max="3077" width="9.140625" style="27" customWidth="1"/>
    <col min="3078" max="3078" width="25.7109375" style="27" bestFit="1" customWidth="1"/>
    <col min="3079" max="3079" width="24.42578125" style="27" customWidth="1"/>
    <col min="3080" max="3080" width="9.140625" style="27" customWidth="1"/>
    <col min="3081" max="3081" width="2.85546875" style="27" customWidth="1"/>
    <col min="3082" max="3328" width="9.140625" style="27"/>
    <col min="3329" max="3329" width="22.85546875" style="27" customWidth="1"/>
    <col min="3330" max="3333" width="9.140625" style="27" customWidth="1"/>
    <col min="3334" max="3334" width="25.7109375" style="27" bestFit="1" customWidth="1"/>
    <col min="3335" max="3335" width="24.42578125" style="27" customWidth="1"/>
    <col min="3336" max="3336" width="9.140625" style="27" customWidth="1"/>
    <col min="3337" max="3337" width="2.85546875" style="27" customWidth="1"/>
    <col min="3338" max="3584" width="9.140625" style="27"/>
    <col min="3585" max="3585" width="22.85546875" style="27" customWidth="1"/>
    <col min="3586" max="3589" width="9.140625" style="27" customWidth="1"/>
    <col min="3590" max="3590" width="25.7109375" style="27" bestFit="1" customWidth="1"/>
    <col min="3591" max="3591" width="24.42578125" style="27" customWidth="1"/>
    <col min="3592" max="3592" width="9.140625" style="27" customWidth="1"/>
    <col min="3593" max="3593" width="2.85546875" style="27" customWidth="1"/>
    <col min="3594" max="3840" width="9.140625" style="27"/>
    <col min="3841" max="3841" width="22.85546875" style="27" customWidth="1"/>
    <col min="3842" max="3845" width="9.140625" style="27" customWidth="1"/>
    <col min="3846" max="3846" width="25.7109375" style="27" bestFit="1" customWidth="1"/>
    <col min="3847" max="3847" width="24.42578125" style="27" customWidth="1"/>
    <col min="3848" max="3848" width="9.140625" style="27" customWidth="1"/>
    <col min="3849" max="3849" width="2.85546875" style="27" customWidth="1"/>
    <col min="3850" max="4096" width="9.140625" style="27"/>
    <col min="4097" max="4097" width="22.85546875" style="27" customWidth="1"/>
    <col min="4098" max="4101" width="9.140625" style="27" customWidth="1"/>
    <col min="4102" max="4102" width="25.7109375" style="27" bestFit="1" customWidth="1"/>
    <col min="4103" max="4103" width="24.42578125" style="27" customWidth="1"/>
    <col min="4104" max="4104" width="9.140625" style="27" customWidth="1"/>
    <col min="4105" max="4105" width="2.85546875" style="27" customWidth="1"/>
    <col min="4106" max="4352" width="9.140625" style="27"/>
    <col min="4353" max="4353" width="22.85546875" style="27" customWidth="1"/>
    <col min="4354" max="4357" width="9.140625" style="27" customWidth="1"/>
    <col min="4358" max="4358" width="25.7109375" style="27" bestFit="1" customWidth="1"/>
    <col min="4359" max="4359" width="24.42578125" style="27" customWidth="1"/>
    <col min="4360" max="4360" width="9.140625" style="27" customWidth="1"/>
    <col min="4361" max="4361" width="2.85546875" style="27" customWidth="1"/>
    <col min="4362" max="4608" width="9.140625" style="27"/>
    <col min="4609" max="4609" width="22.85546875" style="27" customWidth="1"/>
    <col min="4610" max="4613" width="9.140625" style="27" customWidth="1"/>
    <col min="4614" max="4614" width="25.7109375" style="27" bestFit="1" customWidth="1"/>
    <col min="4615" max="4615" width="24.42578125" style="27" customWidth="1"/>
    <col min="4616" max="4616" width="9.140625" style="27" customWidth="1"/>
    <col min="4617" max="4617" width="2.85546875" style="27" customWidth="1"/>
    <col min="4618" max="4864" width="9.140625" style="27"/>
    <col min="4865" max="4865" width="22.85546875" style="27" customWidth="1"/>
    <col min="4866" max="4869" width="9.140625" style="27" customWidth="1"/>
    <col min="4870" max="4870" width="25.7109375" style="27" bestFit="1" customWidth="1"/>
    <col min="4871" max="4871" width="24.42578125" style="27" customWidth="1"/>
    <col min="4872" max="4872" width="9.140625" style="27" customWidth="1"/>
    <col min="4873" max="4873" width="2.85546875" style="27" customWidth="1"/>
    <col min="4874" max="5120" width="9.140625" style="27"/>
    <col min="5121" max="5121" width="22.85546875" style="27" customWidth="1"/>
    <col min="5122" max="5125" width="9.140625" style="27" customWidth="1"/>
    <col min="5126" max="5126" width="25.7109375" style="27" bestFit="1" customWidth="1"/>
    <col min="5127" max="5127" width="24.42578125" style="27" customWidth="1"/>
    <col min="5128" max="5128" width="9.140625" style="27" customWidth="1"/>
    <col min="5129" max="5129" width="2.85546875" style="27" customWidth="1"/>
    <col min="5130" max="5376" width="9.140625" style="27"/>
    <col min="5377" max="5377" width="22.85546875" style="27" customWidth="1"/>
    <col min="5378" max="5381" width="9.140625" style="27" customWidth="1"/>
    <col min="5382" max="5382" width="25.7109375" style="27" bestFit="1" customWidth="1"/>
    <col min="5383" max="5383" width="24.42578125" style="27" customWidth="1"/>
    <col min="5384" max="5384" width="9.140625" style="27" customWidth="1"/>
    <col min="5385" max="5385" width="2.85546875" style="27" customWidth="1"/>
    <col min="5386" max="5632" width="9.140625" style="27"/>
    <col min="5633" max="5633" width="22.85546875" style="27" customWidth="1"/>
    <col min="5634" max="5637" width="9.140625" style="27" customWidth="1"/>
    <col min="5638" max="5638" width="25.7109375" style="27" bestFit="1" customWidth="1"/>
    <col min="5639" max="5639" width="24.42578125" style="27" customWidth="1"/>
    <col min="5640" max="5640" width="9.140625" style="27" customWidth="1"/>
    <col min="5641" max="5641" width="2.85546875" style="27" customWidth="1"/>
    <col min="5642" max="5888" width="9.140625" style="27"/>
    <col min="5889" max="5889" width="22.85546875" style="27" customWidth="1"/>
    <col min="5890" max="5893" width="9.140625" style="27" customWidth="1"/>
    <col min="5894" max="5894" width="25.7109375" style="27" bestFit="1" customWidth="1"/>
    <col min="5895" max="5895" width="24.42578125" style="27" customWidth="1"/>
    <col min="5896" max="5896" width="9.140625" style="27" customWidth="1"/>
    <col min="5897" max="5897" width="2.85546875" style="27" customWidth="1"/>
    <col min="5898" max="6144" width="9.140625" style="27"/>
    <col min="6145" max="6145" width="22.85546875" style="27" customWidth="1"/>
    <col min="6146" max="6149" width="9.140625" style="27" customWidth="1"/>
    <col min="6150" max="6150" width="25.7109375" style="27" bestFit="1" customWidth="1"/>
    <col min="6151" max="6151" width="24.42578125" style="27" customWidth="1"/>
    <col min="6152" max="6152" width="9.140625" style="27" customWidth="1"/>
    <col min="6153" max="6153" width="2.85546875" style="27" customWidth="1"/>
    <col min="6154" max="6400" width="9.140625" style="27"/>
    <col min="6401" max="6401" width="22.85546875" style="27" customWidth="1"/>
    <col min="6402" max="6405" width="9.140625" style="27" customWidth="1"/>
    <col min="6406" max="6406" width="25.7109375" style="27" bestFit="1" customWidth="1"/>
    <col min="6407" max="6407" width="24.42578125" style="27" customWidth="1"/>
    <col min="6408" max="6408" width="9.140625" style="27" customWidth="1"/>
    <col min="6409" max="6409" width="2.85546875" style="27" customWidth="1"/>
    <col min="6410" max="6656" width="9.140625" style="27"/>
    <col min="6657" max="6657" width="22.85546875" style="27" customWidth="1"/>
    <col min="6658" max="6661" width="9.140625" style="27" customWidth="1"/>
    <col min="6662" max="6662" width="25.7109375" style="27" bestFit="1" customWidth="1"/>
    <col min="6663" max="6663" width="24.42578125" style="27" customWidth="1"/>
    <col min="6664" max="6664" width="9.140625" style="27" customWidth="1"/>
    <col min="6665" max="6665" width="2.85546875" style="27" customWidth="1"/>
    <col min="6666" max="6912" width="9.140625" style="27"/>
    <col min="6913" max="6913" width="22.85546875" style="27" customWidth="1"/>
    <col min="6914" max="6917" width="9.140625" style="27" customWidth="1"/>
    <col min="6918" max="6918" width="25.7109375" style="27" bestFit="1" customWidth="1"/>
    <col min="6919" max="6919" width="24.42578125" style="27" customWidth="1"/>
    <col min="6920" max="6920" width="9.140625" style="27" customWidth="1"/>
    <col min="6921" max="6921" width="2.85546875" style="27" customWidth="1"/>
    <col min="6922" max="7168" width="9.140625" style="27"/>
    <col min="7169" max="7169" width="22.85546875" style="27" customWidth="1"/>
    <col min="7170" max="7173" width="9.140625" style="27" customWidth="1"/>
    <col min="7174" max="7174" width="25.7109375" style="27" bestFit="1" customWidth="1"/>
    <col min="7175" max="7175" width="24.42578125" style="27" customWidth="1"/>
    <col min="7176" max="7176" width="9.140625" style="27" customWidth="1"/>
    <col min="7177" max="7177" width="2.85546875" style="27" customWidth="1"/>
    <col min="7178" max="7424" width="9.140625" style="27"/>
    <col min="7425" max="7425" width="22.85546875" style="27" customWidth="1"/>
    <col min="7426" max="7429" width="9.140625" style="27" customWidth="1"/>
    <col min="7430" max="7430" width="25.7109375" style="27" bestFit="1" customWidth="1"/>
    <col min="7431" max="7431" width="24.42578125" style="27" customWidth="1"/>
    <col min="7432" max="7432" width="9.140625" style="27" customWidth="1"/>
    <col min="7433" max="7433" width="2.85546875" style="27" customWidth="1"/>
    <col min="7434" max="7680" width="9.140625" style="27"/>
    <col min="7681" max="7681" width="22.85546875" style="27" customWidth="1"/>
    <col min="7682" max="7685" width="9.140625" style="27" customWidth="1"/>
    <col min="7686" max="7686" width="25.7109375" style="27" bestFit="1" customWidth="1"/>
    <col min="7687" max="7687" width="24.42578125" style="27" customWidth="1"/>
    <col min="7688" max="7688" width="9.140625" style="27" customWidth="1"/>
    <col min="7689" max="7689" width="2.85546875" style="27" customWidth="1"/>
    <col min="7690" max="7936" width="9.140625" style="27"/>
    <col min="7937" max="7937" width="22.85546875" style="27" customWidth="1"/>
    <col min="7938" max="7941" width="9.140625" style="27" customWidth="1"/>
    <col min="7942" max="7942" width="25.7109375" style="27" bestFit="1" customWidth="1"/>
    <col min="7943" max="7943" width="24.42578125" style="27" customWidth="1"/>
    <col min="7944" max="7944" width="9.140625" style="27" customWidth="1"/>
    <col min="7945" max="7945" width="2.85546875" style="27" customWidth="1"/>
    <col min="7946" max="8192" width="9.140625" style="27"/>
    <col min="8193" max="8193" width="22.85546875" style="27" customWidth="1"/>
    <col min="8194" max="8197" width="9.140625" style="27" customWidth="1"/>
    <col min="8198" max="8198" width="25.7109375" style="27" bestFit="1" customWidth="1"/>
    <col min="8199" max="8199" width="24.42578125" style="27" customWidth="1"/>
    <col min="8200" max="8200" width="9.140625" style="27" customWidth="1"/>
    <col min="8201" max="8201" width="2.85546875" style="27" customWidth="1"/>
    <col min="8202" max="8448" width="9.140625" style="27"/>
    <col min="8449" max="8449" width="22.85546875" style="27" customWidth="1"/>
    <col min="8450" max="8453" width="9.140625" style="27" customWidth="1"/>
    <col min="8454" max="8454" width="25.7109375" style="27" bestFit="1" customWidth="1"/>
    <col min="8455" max="8455" width="24.42578125" style="27" customWidth="1"/>
    <col min="8456" max="8456" width="9.140625" style="27" customWidth="1"/>
    <col min="8457" max="8457" width="2.85546875" style="27" customWidth="1"/>
    <col min="8458" max="8704" width="9.140625" style="27"/>
    <col min="8705" max="8705" width="22.85546875" style="27" customWidth="1"/>
    <col min="8706" max="8709" width="9.140625" style="27" customWidth="1"/>
    <col min="8710" max="8710" width="25.7109375" style="27" bestFit="1" customWidth="1"/>
    <col min="8711" max="8711" width="24.42578125" style="27" customWidth="1"/>
    <col min="8712" max="8712" width="9.140625" style="27" customWidth="1"/>
    <col min="8713" max="8713" width="2.85546875" style="27" customWidth="1"/>
    <col min="8714" max="8960" width="9.140625" style="27"/>
    <col min="8961" max="8961" width="22.85546875" style="27" customWidth="1"/>
    <col min="8962" max="8965" width="9.140625" style="27" customWidth="1"/>
    <col min="8966" max="8966" width="25.7109375" style="27" bestFit="1" customWidth="1"/>
    <col min="8967" max="8967" width="24.42578125" style="27" customWidth="1"/>
    <col min="8968" max="8968" width="9.140625" style="27" customWidth="1"/>
    <col min="8969" max="8969" width="2.85546875" style="27" customWidth="1"/>
    <col min="8970" max="9216" width="9.140625" style="27"/>
    <col min="9217" max="9217" width="22.85546875" style="27" customWidth="1"/>
    <col min="9218" max="9221" width="9.140625" style="27" customWidth="1"/>
    <col min="9222" max="9222" width="25.7109375" style="27" bestFit="1" customWidth="1"/>
    <col min="9223" max="9223" width="24.42578125" style="27" customWidth="1"/>
    <col min="9224" max="9224" width="9.140625" style="27" customWidth="1"/>
    <col min="9225" max="9225" width="2.85546875" style="27" customWidth="1"/>
    <col min="9226" max="9472" width="9.140625" style="27"/>
    <col min="9473" max="9473" width="22.85546875" style="27" customWidth="1"/>
    <col min="9474" max="9477" width="9.140625" style="27" customWidth="1"/>
    <col min="9478" max="9478" width="25.7109375" style="27" bestFit="1" customWidth="1"/>
    <col min="9479" max="9479" width="24.42578125" style="27" customWidth="1"/>
    <col min="9480" max="9480" width="9.140625" style="27" customWidth="1"/>
    <col min="9481" max="9481" width="2.85546875" style="27" customWidth="1"/>
    <col min="9482" max="9728" width="9.140625" style="27"/>
    <col min="9729" max="9729" width="22.85546875" style="27" customWidth="1"/>
    <col min="9730" max="9733" width="9.140625" style="27" customWidth="1"/>
    <col min="9734" max="9734" width="25.7109375" style="27" bestFit="1" customWidth="1"/>
    <col min="9735" max="9735" width="24.42578125" style="27" customWidth="1"/>
    <col min="9736" max="9736" width="9.140625" style="27" customWidth="1"/>
    <col min="9737" max="9737" width="2.85546875" style="27" customWidth="1"/>
    <col min="9738" max="9984" width="9.140625" style="27"/>
    <col min="9985" max="9985" width="22.85546875" style="27" customWidth="1"/>
    <col min="9986" max="9989" width="9.140625" style="27" customWidth="1"/>
    <col min="9990" max="9990" width="25.7109375" style="27" bestFit="1" customWidth="1"/>
    <col min="9991" max="9991" width="24.42578125" style="27" customWidth="1"/>
    <col min="9992" max="9992" width="9.140625" style="27" customWidth="1"/>
    <col min="9993" max="9993" width="2.85546875" style="27" customWidth="1"/>
    <col min="9994" max="10240" width="9.140625" style="27"/>
    <col min="10241" max="10241" width="22.85546875" style="27" customWidth="1"/>
    <col min="10242" max="10245" width="9.140625" style="27" customWidth="1"/>
    <col min="10246" max="10246" width="25.7109375" style="27" bestFit="1" customWidth="1"/>
    <col min="10247" max="10247" width="24.42578125" style="27" customWidth="1"/>
    <col min="10248" max="10248" width="9.140625" style="27" customWidth="1"/>
    <col min="10249" max="10249" width="2.85546875" style="27" customWidth="1"/>
    <col min="10250" max="10496" width="9.140625" style="27"/>
    <col min="10497" max="10497" width="22.85546875" style="27" customWidth="1"/>
    <col min="10498" max="10501" width="9.140625" style="27" customWidth="1"/>
    <col min="10502" max="10502" width="25.7109375" style="27" bestFit="1" customWidth="1"/>
    <col min="10503" max="10503" width="24.42578125" style="27" customWidth="1"/>
    <col min="10504" max="10504" width="9.140625" style="27" customWidth="1"/>
    <col min="10505" max="10505" width="2.85546875" style="27" customWidth="1"/>
    <col min="10506" max="10752" width="9.140625" style="27"/>
    <col min="10753" max="10753" width="22.85546875" style="27" customWidth="1"/>
    <col min="10754" max="10757" width="9.140625" style="27" customWidth="1"/>
    <col min="10758" max="10758" width="25.7109375" style="27" bestFit="1" customWidth="1"/>
    <col min="10759" max="10759" width="24.42578125" style="27" customWidth="1"/>
    <col min="10760" max="10760" width="9.140625" style="27" customWidth="1"/>
    <col min="10761" max="10761" width="2.85546875" style="27" customWidth="1"/>
    <col min="10762" max="11008" width="9.140625" style="27"/>
    <col min="11009" max="11009" width="22.85546875" style="27" customWidth="1"/>
    <col min="11010" max="11013" width="9.140625" style="27" customWidth="1"/>
    <col min="11014" max="11014" width="25.7109375" style="27" bestFit="1" customWidth="1"/>
    <col min="11015" max="11015" width="24.42578125" style="27" customWidth="1"/>
    <col min="11016" max="11016" width="9.140625" style="27" customWidth="1"/>
    <col min="11017" max="11017" width="2.85546875" style="27" customWidth="1"/>
    <col min="11018" max="11264" width="9.140625" style="27"/>
    <col min="11265" max="11265" width="22.85546875" style="27" customWidth="1"/>
    <col min="11266" max="11269" width="9.140625" style="27" customWidth="1"/>
    <col min="11270" max="11270" width="25.7109375" style="27" bestFit="1" customWidth="1"/>
    <col min="11271" max="11271" width="24.42578125" style="27" customWidth="1"/>
    <col min="11272" max="11272" width="9.140625" style="27" customWidth="1"/>
    <col min="11273" max="11273" width="2.85546875" style="27" customWidth="1"/>
    <col min="11274" max="11520" width="9.140625" style="27"/>
    <col min="11521" max="11521" width="22.85546875" style="27" customWidth="1"/>
    <col min="11522" max="11525" width="9.140625" style="27" customWidth="1"/>
    <col min="11526" max="11526" width="25.7109375" style="27" bestFit="1" customWidth="1"/>
    <col min="11527" max="11527" width="24.42578125" style="27" customWidth="1"/>
    <col min="11528" max="11528" width="9.140625" style="27" customWidth="1"/>
    <col min="11529" max="11529" width="2.85546875" style="27" customWidth="1"/>
    <col min="11530" max="11776" width="9.140625" style="27"/>
    <col min="11777" max="11777" width="22.85546875" style="27" customWidth="1"/>
    <col min="11778" max="11781" width="9.140625" style="27" customWidth="1"/>
    <col min="11782" max="11782" width="25.7109375" style="27" bestFit="1" customWidth="1"/>
    <col min="11783" max="11783" width="24.42578125" style="27" customWidth="1"/>
    <col min="11784" max="11784" width="9.140625" style="27" customWidth="1"/>
    <col min="11785" max="11785" width="2.85546875" style="27" customWidth="1"/>
    <col min="11786" max="12032" width="9.140625" style="27"/>
    <col min="12033" max="12033" width="22.85546875" style="27" customWidth="1"/>
    <col min="12034" max="12037" width="9.140625" style="27" customWidth="1"/>
    <col min="12038" max="12038" width="25.7109375" style="27" bestFit="1" customWidth="1"/>
    <col min="12039" max="12039" width="24.42578125" style="27" customWidth="1"/>
    <col min="12040" max="12040" width="9.140625" style="27" customWidth="1"/>
    <col min="12041" max="12041" width="2.85546875" style="27" customWidth="1"/>
    <col min="12042" max="12288" width="9.140625" style="27"/>
    <col min="12289" max="12289" width="22.85546875" style="27" customWidth="1"/>
    <col min="12290" max="12293" width="9.140625" style="27" customWidth="1"/>
    <col min="12294" max="12294" width="25.7109375" style="27" bestFit="1" customWidth="1"/>
    <col min="12295" max="12295" width="24.42578125" style="27" customWidth="1"/>
    <col min="12296" max="12296" width="9.140625" style="27" customWidth="1"/>
    <col min="12297" max="12297" width="2.85546875" style="27" customWidth="1"/>
    <col min="12298" max="12544" width="9.140625" style="27"/>
    <col min="12545" max="12545" width="22.85546875" style="27" customWidth="1"/>
    <col min="12546" max="12549" width="9.140625" style="27" customWidth="1"/>
    <col min="12550" max="12550" width="25.7109375" style="27" bestFit="1" customWidth="1"/>
    <col min="12551" max="12551" width="24.42578125" style="27" customWidth="1"/>
    <col min="12552" max="12552" width="9.140625" style="27" customWidth="1"/>
    <col min="12553" max="12553" width="2.85546875" style="27" customWidth="1"/>
    <col min="12554" max="12800" width="9.140625" style="27"/>
    <col min="12801" max="12801" width="22.85546875" style="27" customWidth="1"/>
    <col min="12802" max="12805" width="9.140625" style="27" customWidth="1"/>
    <col min="12806" max="12806" width="25.7109375" style="27" bestFit="1" customWidth="1"/>
    <col min="12807" max="12807" width="24.42578125" style="27" customWidth="1"/>
    <col min="12808" max="12808" width="9.140625" style="27" customWidth="1"/>
    <col min="12809" max="12809" width="2.85546875" style="27" customWidth="1"/>
    <col min="12810" max="13056" width="9.140625" style="27"/>
    <col min="13057" max="13057" width="22.85546875" style="27" customWidth="1"/>
    <col min="13058" max="13061" width="9.140625" style="27" customWidth="1"/>
    <col min="13062" max="13062" width="25.7109375" style="27" bestFit="1" customWidth="1"/>
    <col min="13063" max="13063" width="24.42578125" style="27" customWidth="1"/>
    <col min="13064" max="13064" width="9.140625" style="27" customWidth="1"/>
    <col min="13065" max="13065" width="2.85546875" style="27" customWidth="1"/>
    <col min="13066" max="13312" width="9.140625" style="27"/>
    <col min="13313" max="13313" width="22.85546875" style="27" customWidth="1"/>
    <col min="13314" max="13317" width="9.140625" style="27" customWidth="1"/>
    <col min="13318" max="13318" width="25.7109375" style="27" bestFit="1" customWidth="1"/>
    <col min="13319" max="13319" width="24.42578125" style="27" customWidth="1"/>
    <col min="13320" max="13320" width="9.140625" style="27" customWidth="1"/>
    <col min="13321" max="13321" width="2.85546875" style="27" customWidth="1"/>
    <col min="13322" max="13568" width="9.140625" style="27"/>
    <col min="13569" max="13569" width="22.85546875" style="27" customWidth="1"/>
    <col min="13570" max="13573" width="9.140625" style="27" customWidth="1"/>
    <col min="13574" max="13574" width="25.7109375" style="27" bestFit="1" customWidth="1"/>
    <col min="13575" max="13575" width="24.42578125" style="27" customWidth="1"/>
    <col min="13576" max="13576" width="9.140625" style="27" customWidth="1"/>
    <col min="13577" max="13577" width="2.85546875" style="27" customWidth="1"/>
    <col min="13578" max="13824" width="9.140625" style="27"/>
    <col min="13825" max="13825" width="22.85546875" style="27" customWidth="1"/>
    <col min="13826" max="13829" width="9.140625" style="27" customWidth="1"/>
    <col min="13830" max="13830" width="25.7109375" style="27" bestFit="1" customWidth="1"/>
    <col min="13831" max="13831" width="24.42578125" style="27" customWidth="1"/>
    <col min="13832" max="13832" width="9.140625" style="27" customWidth="1"/>
    <col min="13833" max="13833" width="2.85546875" style="27" customWidth="1"/>
    <col min="13834" max="14080" width="9.140625" style="27"/>
    <col min="14081" max="14081" width="22.85546875" style="27" customWidth="1"/>
    <col min="14082" max="14085" width="9.140625" style="27" customWidth="1"/>
    <col min="14086" max="14086" width="25.7109375" style="27" bestFit="1" customWidth="1"/>
    <col min="14087" max="14087" width="24.42578125" style="27" customWidth="1"/>
    <col min="14088" max="14088" width="9.140625" style="27" customWidth="1"/>
    <col min="14089" max="14089" width="2.85546875" style="27" customWidth="1"/>
    <col min="14090" max="14336" width="9.140625" style="27"/>
    <col min="14337" max="14337" width="22.85546875" style="27" customWidth="1"/>
    <col min="14338" max="14341" width="9.140625" style="27" customWidth="1"/>
    <col min="14342" max="14342" width="25.7109375" style="27" bestFit="1" customWidth="1"/>
    <col min="14343" max="14343" width="24.42578125" style="27" customWidth="1"/>
    <col min="14344" max="14344" width="9.140625" style="27" customWidth="1"/>
    <col min="14345" max="14345" width="2.85546875" style="27" customWidth="1"/>
    <col min="14346" max="14592" width="9.140625" style="27"/>
    <col min="14593" max="14593" width="22.85546875" style="27" customWidth="1"/>
    <col min="14594" max="14597" width="9.140625" style="27" customWidth="1"/>
    <col min="14598" max="14598" width="25.7109375" style="27" bestFit="1" customWidth="1"/>
    <col min="14599" max="14599" width="24.42578125" style="27" customWidth="1"/>
    <col min="14600" max="14600" width="9.140625" style="27" customWidth="1"/>
    <col min="14601" max="14601" width="2.85546875" style="27" customWidth="1"/>
    <col min="14602" max="14848" width="9.140625" style="27"/>
    <col min="14849" max="14849" width="22.85546875" style="27" customWidth="1"/>
    <col min="14850" max="14853" width="9.140625" style="27" customWidth="1"/>
    <col min="14854" max="14854" width="25.7109375" style="27" bestFit="1" customWidth="1"/>
    <col min="14855" max="14855" width="24.42578125" style="27" customWidth="1"/>
    <col min="14856" max="14856" width="9.140625" style="27" customWidth="1"/>
    <col min="14857" max="14857" width="2.85546875" style="27" customWidth="1"/>
    <col min="14858" max="15104" width="9.140625" style="27"/>
    <col min="15105" max="15105" width="22.85546875" style="27" customWidth="1"/>
    <col min="15106" max="15109" width="9.140625" style="27" customWidth="1"/>
    <col min="15110" max="15110" width="25.7109375" style="27" bestFit="1" customWidth="1"/>
    <col min="15111" max="15111" width="24.42578125" style="27" customWidth="1"/>
    <col min="15112" max="15112" width="9.140625" style="27" customWidth="1"/>
    <col min="15113" max="15113" width="2.85546875" style="27" customWidth="1"/>
    <col min="15114" max="15360" width="9.140625" style="27"/>
    <col min="15361" max="15361" width="22.85546875" style="27" customWidth="1"/>
    <col min="15362" max="15365" width="9.140625" style="27" customWidth="1"/>
    <col min="15366" max="15366" width="25.7109375" style="27" bestFit="1" customWidth="1"/>
    <col min="15367" max="15367" width="24.42578125" style="27" customWidth="1"/>
    <col min="15368" max="15368" width="9.140625" style="27" customWidth="1"/>
    <col min="15369" max="15369" width="2.85546875" style="27" customWidth="1"/>
    <col min="15370" max="15616" width="9.140625" style="27"/>
    <col min="15617" max="15617" width="22.85546875" style="27" customWidth="1"/>
    <col min="15618" max="15621" width="9.140625" style="27" customWidth="1"/>
    <col min="15622" max="15622" width="25.7109375" style="27" bestFit="1" customWidth="1"/>
    <col min="15623" max="15623" width="24.42578125" style="27" customWidth="1"/>
    <col min="15624" max="15624" width="9.140625" style="27" customWidth="1"/>
    <col min="15625" max="15625" width="2.85546875" style="27" customWidth="1"/>
    <col min="15626" max="15872" width="9.140625" style="27"/>
    <col min="15873" max="15873" width="22.85546875" style="27" customWidth="1"/>
    <col min="15874" max="15877" width="9.140625" style="27" customWidth="1"/>
    <col min="15878" max="15878" width="25.7109375" style="27" bestFit="1" customWidth="1"/>
    <col min="15879" max="15879" width="24.42578125" style="27" customWidth="1"/>
    <col min="15880" max="15880" width="9.140625" style="27" customWidth="1"/>
    <col min="15881" max="15881" width="2.85546875" style="27" customWidth="1"/>
    <col min="15882" max="16128" width="9.140625" style="27"/>
    <col min="16129" max="16129" width="22.85546875" style="27" customWidth="1"/>
    <col min="16130" max="16133" width="9.140625" style="27" customWidth="1"/>
    <col min="16134" max="16134" width="25.7109375" style="27" bestFit="1" customWidth="1"/>
    <col min="16135" max="16135" width="24.42578125" style="27" customWidth="1"/>
    <col min="16136" max="16136" width="9.140625" style="27" customWidth="1"/>
    <col min="16137" max="16137" width="2.85546875" style="27" customWidth="1"/>
    <col min="16138" max="16384" width="9.140625" style="27"/>
  </cols>
  <sheetData>
    <row r="1" spans="1:14" ht="26.25">
      <c r="A1" s="26" t="s">
        <v>61</v>
      </c>
      <c r="F1" s="27" t="s">
        <v>62</v>
      </c>
      <c r="G1" s="28"/>
    </row>
    <row r="2" spans="1:14">
      <c r="F2" s="42">
        <v>100</v>
      </c>
      <c r="N2" s="27">
        <f>5/938</f>
        <v>5.3304904051172707E-3</v>
      </c>
    </row>
    <row r="3" spans="1:14">
      <c r="A3" s="27" t="s">
        <v>63</v>
      </c>
      <c r="B3" s="29"/>
      <c r="C3" s="30">
        <v>85</v>
      </c>
      <c r="F3" s="31" t="s">
        <v>65</v>
      </c>
      <c r="G3" s="31" t="s">
        <v>66</v>
      </c>
      <c r="N3" s="27">
        <f>938*N2</f>
        <v>5</v>
      </c>
    </row>
    <row r="4" spans="1:14">
      <c r="A4" s="27" t="s">
        <v>64</v>
      </c>
      <c r="B4" s="29"/>
      <c r="C4" s="30">
        <v>15</v>
      </c>
      <c r="F4" s="33">
        <f>NORMDIST(F2,C3,C4,TRUE)</f>
        <v>0.84134474606854293</v>
      </c>
      <c r="G4" s="33">
        <f>1-F4</f>
        <v>0.15865525393145707</v>
      </c>
      <c r="I4" s="32"/>
      <c r="J4" s="33"/>
    </row>
    <row r="6" spans="1:14" ht="15.75" thickBot="1"/>
    <row r="7" spans="1:14" ht="15.75" thickBot="1">
      <c r="B7" s="34" t="s">
        <v>67</v>
      </c>
      <c r="C7" s="35" t="s">
        <v>68</v>
      </c>
      <c r="D7" s="35" t="s">
        <v>69</v>
      </c>
      <c r="E7" s="35" t="s">
        <v>70</v>
      </c>
      <c r="F7" s="36" t="s">
        <v>71</v>
      </c>
    </row>
    <row r="8" spans="1:14">
      <c r="B8" s="37">
        <f t="shared" ref="B8:B26" si="0">B9-$C$4/5</f>
        <v>25</v>
      </c>
      <c r="C8" s="38">
        <f t="shared" ref="C8:C48" si="1">+B8-$C$3</f>
        <v>-60</v>
      </c>
      <c r="D8" s="39">
        <f t="shared" ref="D8:D48" si="2">+C8/$C$4</f>
        <v>-4</v>
      </c>
      <c r="E8" s="40">
        <f t="shared" ref="E8:E48" si="3">NORMDIST(B8, $C$3,$C$4, TRUE)</f>
        <v>3.1671241836783715E-5</v>
      </c>
      <c r="F8" s="41">
        <f t="shared" ref="F8:F48" si="4">1/($C$4*SQRT(2*PI()*EXP(D8^2)))</f>
        <v>8.9220150509923572E-6</v>
      </c>
    </row>
    <row r="9" spans="1:14">
      <c r="B9" s="37">
        <f t="shared" si="0"/>
        <v>28</v>
      </c>
      <c r="C9" s="38">
        <f t="shared" si="1"/>
        <v>-57</v>
      </c>
      <c r="D9" s="39">
        <f t="shared" si="2"/>
        <v>-3.8</v>
      </c>
      <c r="E9" s="40">
        <f t="shared" si="3"/>
        <v>7.2348043924419514E-5</v>
      </c>
      <c r="F9" s="41">
        <f t="shared" si="4"/>
        <v>1.946312838609735E-5</v>
      </c>
    </row>
    <row r="10" spans="1:14">
      <c r="B10" s="37">
        <f t="shared" si="0"/>
        <v>31</v>
      </c>
      <c r="C10" s="38">
        <f t="shared" si="1"/>
        <v>-54</v>
      </c>
      <c r="D10" s="39">
        <f t="shared" si="2"/>
        <v>-3.6</v>
      </c>
      <c r="E10" s="40">
        <f t="shared" si="3"/>
        <v>1.591085901577749E-4</v>
      </c>
      <c r="F10" s="41">
        <f t="shared" si="4"/>
        <v>4.0793462007584798E-5</v>
      </c>
    </row>
    <row r="11" spans="1:14">
      <c r="B11" s="37">
        <f t="shared" si="0"/>
        <v>34</v>
      </c>
      <c r="C11" s="38">
        <f t="shared" si="1"/>
        <v>-51</v>
      </c>
      <c r="D11" s="39">
        <f t="shared" si="2"/>
        <v>-3.4</v>
      </c>
      <c r="E11" s="40">
        <f t="shared" si="3"/>
        <v>3.3692926567652215E-4</v>
      </c>
      <c r="F11" s="41">
        <f t="shared" si="4"/>
        <v>8.2147944564867997E-5</v>
      </c>
    </row>
    <row r="12" spans="1:14">
      <c r="B12" s="37">
        <f t="shared" si="0"/>
        <v>37</v>
      </c>
      <c r="C12" s="38">
        <f t="shared" si="1"/>
        <v>-48</v>
      </c>
      <c r="D12" s="39">
        <f t="shared" si="2"/>
        <v>-3.2</v>
      </c>
      <c r="E12" s="40">
        <f t="shared" si="3"/>
        <v>6.8713793791586042E-4</v>
      </c>
      <c r="F12" s="41">
        <f t="shared" si="4"/>
        <v>1.5893921343098936E-4</v>
      </c>
    </row>
    <row r="13" spans="1:14">
      <c r="B13" s="37">
        <f t="shared" si="0"/>
        <v>40</v>
      </c>
      <c r="C13" s="38">
        <f t="shared" si="1"/>
        <v>-45</v>
      </c>
      <c r="D13" s="39">
        <f t="shared" si="2"/>
        <v>-3</v>
      </c>
      <c r="E13" s="40">
        <f t="shared" si="3"/>
        <v>1.3498980316301035E-3</v>
      </c>
      <c r="F13" s="41">
        <f t="shared" si="4"/>
        <v>2.9545656079586714E-4</v>
      </c>
    </row>
    <row r="14" spans="1:14">
      <c r="B14" s="37">
        <f t="shared" si="0"/>
        <v>43</v>
      </c>
      <c r="C14" s="38">
        <f t="shared" si="1"/>
        <v>-42</v>
      </c>
      <c r="D14" s="39">
        <f t="shared" si="2"/>
        <v>-2.8</v>
      </c>
      <c r="E14" s="40">
        <f t="shared" si="3"/>
        <v>2.5551303304278683E-3</v>
      </c>
      <c r="F14" s="41">
        <f t="shared" si="4"/>
        <v>5.2769677219866452E-4</v>
      </c>
    </row>
    <row r="15" spans="1:14">
      <c r="B15" s="37">
        <f t="shared" si="0"/>
        <v>46</v>
      </c>
      <c r="C15" s="38">
        <f t="shared" si="1"/>
        <v>-39</v>
      </c>
      <c r="D15" s="39">
        <f t="shared" si="2"/>
        <v>-2.6</v>
      </c>
      <c r="E15" s="40">
        <f t="shared" si="3"/>
        <v>4.661188023718732E-3</v>
      </c>
      <c r="F15" s="41">
        <f t="shared" si="4"/>
        <v>9.0553128224570749E-4</v>
      </c>
    </row>
    <row r="16" spans="1:14">
      <c r="B16" s="37">
        <f t="shared" si="0"/>
        <v>49</v>
      </c>
      <c r="C16" s="38">
        <f t="shared" si="1"/>
        <v>-36</v>
      </c>
      <c r="D16" s="39">
        <f t="shared" si="2"/>
        <v>-2.4</v>
      </c>
      <c r="E16" s="40">
        <f t="shared" si="3"/>
        <v>8.1975359245960444E-3</v>
      </c>
      <c r="F16" s="41">
        <f t="shared" si="4"/>
        <v>1.49296868632286E-3</v>
      </c>
    </row>
    <row r="17" spans="1:19">
      <c r="B17" s="37">
        <f t="shared" si="0"/>
        <v>52</v>
      </c>
      <c r="C17" s="38">
        <f t="shared" si="1"/>
        <v>-33</v>
      </c>
      <c r="D17" s="39">
        <f t="shared" si="2"/>
        <v>-2.2000000000000002</v>
      </c>
      <c r="E17" s="40">
        <f t="shared" si="3"/>
        <v>1.390344751349859E-2</v>
      </c>
      <c r="F17" s="41">
        <f t="shared" si="4"/>
        <v>2.3649728564154281E-3</v>
      </c>
    </row>
    <row r="18" spans="1:19">
      <c r="B18" s="37">
        <f t="shared" si="0"/>
        <v>55</v>
      </c>
      <c r="C18" s="38">
        <f t="shared" si="1"/>
        <v>-30</v>
      </c>
      <c r="D18" s="39">
        <f t="shared" si="2"/>
        <v>-2</v>
      </c>
      <c r="E18" s="40">
        <f t="shared" si="3"/>
        <v>2.275013194817932E-2</v>
      </c>
      <c r="F18" s="41">
        <f t="shared" si="4"/>
        <v>3.5993977675458709E-3</v>
      </c>
    </row>
    <row r="19" spans="1:19">
      <c r="B19" s="37">
        <f t="shared" si="0"/>
        <v>58</v>
      </c>
      <c r="C19" s="38">
        <f t="shared" si="1"/>
        <v>-27</v>
      </c>
      <c r="D19" s="39">
        <f t="shared" si="2"/>
        <v>-1.8</v>
      </c>
      <c r="E19" s="40">
        <f t="shared" si="3"/>
        <v>3.5930319112925879E-2</v>
      </c>
      <c r="F19" s="41">
        <f t="shared" si="4"/>
        <v>5.2633438867262777E-3</v>
      </c>
    </row>
    <row r="20" spans="1:19">
      <c r="B20" s="37">
        <f t="shared" si="0"/>
        <v>61</v>
      </c>
      <c r="C20" s="38">
        <f t="shared" si="1"/>
        <v>-24</v>
      </c>
      <c r="D20" s="39">
        <f t="shared" si="2"/>
        <v>-1.6</v>
      </c>
      <c r="E20" s="40">
        <f t="shared" si="3"/>
        <v>5.4799291699557995E-2</v>
      </c>
      <c r="F20" s="41">
        <f t="shared" si="4"/>
        <v>7.3947223119637025E-3</v>
      </c>
    </row>
    <row r="21" spans="1:19">
      <c r="B21" s="37">
        <f t="shared" si="0"/>
        <v>64</v>
      </c>
      <c r="C21" s="38">
        <f t="shared" si="1"/>
        <v>-21</v>
      </c>
      <c r="D21" s="39">
        <f t="shared" si="2"/>
        <v>-1.4</v>
      </c>
      <c r="E21" s="40">
        <f t="shared" si="3"/>
        <v>8.0756659233771177E-2</v>
      </c>
      <c r="F21" s="41">
        <f t="shared" si="4"/>
        <v>9.9818310423829913E-3</v>
      </c>
    </row>
    <row r="22" spans="1:19">
      <c r="B22" s="37">
        <f t="shared" si="0"/>
        <v>67</v>
      </c>
      <c r="C22" s="38">
        <f t="shared" si="1"/>
        <v>-18</v>
      </c>
      <c r="D22" s="39">
        <f t="shared" si="2"/>
        <v>-1.2</v>
      </c>
      <c r="E22" s="40">
        <f t="shared" si="3"/>
        <v>0.11506967022170822</v>
      </c>
      <c r="F22" s="41">
        <f t="shared" si="4"/>
        <v>1.2945736998880865E-2</v>
      </c>
    </row>
    <row r="23" spans="1:19">
      <c r="B23" s="37">
        <f t="shared" si="0"/>
        <v>70</v>
      </c>
      <c r="C23" s="38">
        <f t="shared" si="1"/>
        <v>-15</v>
      </c>
      <c r="D23" s="39">
        <f t="shared" si="2"/>
        <v>-1</v>
      </c>
      <c r="E23" s="40">
        <f t="shared" si="3"/>
        <v>0.15865525393145707</v>
      </c>
      <c r="F23" s="41">
        <f t="shared" si="4"/>
        <v>1.6131381634609556E-2</v>
      </c>
    </row>
    <row r="24" spans="1:19">
      <c r="B24" s="37">
        <f t="shared" si="0"/>
        <v>73</v>
      </c>
      <c r="C24" s="38">
        <f t="shared" si="1"/>
        <v>-12</v>
      </c>
      <c r="D24" s="39">
        <f t="shared" si="2"/>
        <v>-0.8</v>
      </c>
      <c r="E24" s="40">
        <f t="shared" si="3"/>
        <v>0.21185539858339675</v>
      </c>
      <c r="F24" s="41">
        <f t="shared" si="4"/>
        <v>1.9312770184098851E-2</v>
      </c>
    </row>
    <row r="25" spans="1:19">
      <c r="B25" s="37">
        <f t="shared" si="0"/>
        <v>76</v>
      </c>
      <c r="C25" s="38">
        <f t="shared" si="1"/>
        <v>-9</v>
      </c>
      <c r="D25" s="39">
        <f t="shared" si="2"/>
        <v>-0.6</v>
      </c>
      <c r="E25" s="40">
        <f t="shared" si="3"/>
        <v>0.27425311775007366</v>
      </c>
      <c r="F25" s="41">
        <f t="shared" si="4"/>
        <v>2.221497352611998E-2</v>
      </c>
    </row>
    <row r="26" spans="1:19">
      <c r="B26" s="37">
        <f t="shared" si="0"/>
        <v>79</v>
      </c>
      <c r="C26" s="38">
        <f t="shared" si="1"/>
        <v>-6</v>
      </c>
      <c r="D26" s="39">
        <f t="shared" si="2"/>
        <v>-0.4</v>
      </c>
      <c r="E26" s="40">
        <f t="shared" si="3"/>
        <v>0.34457825838967582</v>
      </c>
      <c r="F26" s="41">
        <f t="shared" si="4"/>
        <v>2.455134268688822E-2</v>
      </c>
    </row>
    <row r="27" spans="1:19">
      <c r="B27" s="37">
        <f>B28-$C$4/5</f>
        <v>82</v>
      </c>
      <c r="C27" s="38">
        <f t="shared" si="1"/>
        <v>-3</v>
      </c>
      <c r="D27" s="39">
        <f t="shared" si="2"/>
        <v>-0.2</v>
      </c>
      <c r="E27" s="40">
        <f t="shared" si="3"/>
        <v>0.42074029056089701</v>
      </c>
      <c r="F27" s="41">
        <f t="shared" si="4"/>
        <v>2.6069512931697056E-2</v>
      </c>
    </row>
    <row r="28" spans="1:19">
      <c r="A28" s="44"/>
      <c r="B28" s="44">
        <f>C3</f>
        <v>85</v>
      </c>
      <c r="C28" s="44">
        <f t="shared" si="1"/>
        <v>0</v>
      </c>
      <c r="D28" s="45">
        <f t="shared" si="2"/>
        <v>0</v>
      </c>
      <c r="E28" s="46">
        <f t="shared" si="3"/>
        <v>0.5</v>
      </c>
      <c r="F28" s="48">
        <f t="shared" si="4"/>
        <v>2.6596152026762181E-2</v>
      </c>
      <c r="G28" s="44"/>
      <c r="H28" s="44"/>
      <c r="I28" s="44"/>
      <c r="J28" s="44"/>
      <c r="K28" s="43"/>
      <c r="L28" s="43"/>
      <c r="M28" s="43"/>
      <c r="N28" s="43"/>
      <c r="O28" s="43"/>
      <c r="P28" s="43"/>
      <c r="Q28" s="43"/>
      <c r="R28" s="43"/>
      <c r="S28" s="43"/>
    </row>
    <row r="29" spans="1:19">
      <c r="A29" s="44"/>
      <c r="B29" s="44">
        <f>+B28+$C$4/5</f>
        <v>88</v>
      </c>
      <c r="C29" s="44">
        <f t="shared" si="1"/>
        <v>3</v>
      </c>
      <c r="D29" s="45">
        <f t="shared" si="2"/>
        <v>0.2</v>
      </c>
      <c r="E29" s="46">
        <f t="shared" si="3"/>
        <v>0.57925970943910299</v>
      </c>
      <c r="F29" s="48">
        <f t="shared" si="4"/>
        <v>2.6069512931697056E-2</v>
      </c>
      <c r="G29" s="44"/>
      <c r="H29" s="44"/>
      <c r="I29" s="44"/>
      <c r="J29" s="44"/>
      <c r="K29" s="43"/>
      <c r="L29" s="43"/>
      <c r="M29" s="43"/>
      <c r="N29" s="43"/>
      <c r="O29" s="43"/>
      <c r="P29" s="43"/>
      <c r="Q29" s="43"/>
      <c r="R29" s="43"/>
      <c r="S29" s="43"/>
    </row>
    <row r="30" spans="1:19">
      <c r="A30" s="44"/>
      <c r="B30" s="44">
        <f t="shared" ref="B30:B48" si="5">+B29+$C$4/5</f>
        <v>91</v>
      </c>
      <c r="C30" s="44">
        <f t="shared" si="1"/>
        <v>6</v>
      </c>
      <c r="D30" s="45">
        <f t="shared" si="2"/>
        <v>0.4</v>
      </c>
      <c r="E30" s="46">
        <f t="shared" si="3"/>
        <v>0.65542174161032418</v>
      </c>
      <c r="F30" s="48">
        <f t="shared" si="4"/>
        <v>2.455134268688822E-2</v>
      </c>
      <c r="G30" s="44"/>
      <c r="H30" s="44"/>
      <c r="I30" s="44"/>
      <c r="J30" s="44"/>
      <c r="K30" s="43"/>
      <c r="L30" s="43"/>
      <c r="M30" s="43"/>
      <c r="N30" s="43"/>
      <c r="O30" s="43"/>
      <c r="P30" s="43" t="s">
        <v>72</v>
      </c>
      <c r="Q30" s="47"/>
      <c r="R30" s="43">
        <f>+C4^2</f>
        <v>225</v>
      </c>
      <c r="S30" s="43"/>
    </row>
    <row r="31" spans="1:19">
      <c r="A31" s="44"/>
      <c r="B31" s="44">
        <f t="shared" si="5"/>
        <v>94</v>
      </c>
      <c r="C31" s="44">
        <f t="shared" si="1"/>
        <v>9</v>
      </c>
      <c r="D31" s="45">
        <f t="shared" si="2"/>
        <v>0.6</v>
      </c>
      <c r="E31" s="46">
        <f t="shared" si="3"/>
        <v>0.72574688224992634</v>
      </c>
      <c r="F31" s="48">
        <f t="shared" si="4"/>
        <v>2.221497352611998E-2</v>
      </c>
      <c r="G31" s="44"/>
      <c r="H31" s="44"/>
      <c r="I31" s="44"/>
      <c r="J31" s="44"/>
      <c r="K31" s="43"/>
      <c r="L31" s="43"/>
      <c r="M31" s="43"/>
      <c r="N31" s="43"/>
      <c r="O31" s="43"/>
      <c r="P31" s="43"/>
      <c r="Q31" s="43"/>
      <c r="R31" s="43"/>
      <c r="S31" s="43"/>
    </row>
    <row r="32" spans="1:19">
      <c r="A32" s="44"/>
      <c r="B32" s="44">
        <f t="shared" si="5"/>
        <v>97</v>
      </c>
      <c r="C32" s="44">
        <f t="shared" si="1"/>
        <v>12</v>
      </c>
      <c r="D32" s="45">
        <f t="shared" si="2"/>
        <v>0.8</v>
      </c>
      <c r="E32" s="46">
        <f t="shared" si="3"/>
        <v>0.78814460141660325</v>
      </c>
      <c r="F32" s="48">
        <f t="shared" si="4"/>
        <v>1.9312770184098851E-2</v>
      </c>
      <c r="G32" s="44"/>
      <c r="H32" s="44"/>
      <c r="I32" s="44"/>
      <c r="J32" s="44"/>
      <c r="K32" s="43"/>
      <c r="L32" s="43"/>
      <c r="M32" s="43"/>
      <c r="N32" s="43"/>
      <c r="O32" s="43"/>
      <c r="P32" s="43"/>
      <c r="Q32" s="43"/>
      <c r="R32" s="43"/>
      <c r="S32" s="43"/>
    </row>
    <row r="33" spans="1:19">
      <c r="A33" s="44"/>
      <c r="B33" s="44">
        <f t="shared" si="5"/>
        <v>100</v>
      </c>
      <c r="C33" s="44">
        <f t="shared" si="1"/>
        <v>15</v>
      </c>
      <c r="D33" s="45">
        <f t="shared" si="2"/>
        <v>1</v>
      </c>
      <c r="E33" s="46">
        <f t="shared" si="3"/>
        <v>0.84134474606854293</v>
      </c>
      <c r="F33" s="48">
        <f t="shared" si="4"/>
        <v>1.6131381634609556E-2</v>
      </c>
      <c r="G33" s="44"/>
      <c r="H33" s="44"/>
      <c r="I33" s="44"/>
      <c r="J33" s="44"/>
      <c r="K33" s="43"/>
      <c r="L33" s="43"/>
      <c r="M33" s="43"/>
      <c r="N33" s="43"/>
      <c r="O33" s="43"/>
      <c r="P33" s="43"/>
      <c r="Q33" s="43"/>
      <c r="R33" s="43"/>
      <c r="S33" s="43"/>
    </row>
    <row r="34" spans="1:19">
      <c r="A34" s="44"/>
      <c r="B34" s="44">
        <f t="shared" si="5"/>
        <v>103</v>
      </c>
      <c r="C34" s="44">
        <f t="shared" si="1"/>
        <v>18</v>
      </c>
      <c r="D34" s="45">
        <f t="shared" si="2"/>
        <v>1.2</v>
      </c>
      <c r="E34" s="46">
        <f t="shared" si="3"/>
        <v>0.88493032977829178</v>
      </c>
      <c r="F34" s="48">
        <f t="shared" si="4"/>
        <v>1.2945736998880865E-2</v>
      </c>
      <c r="G34" s="44"/>
      <c r="H34" s="44"/>
      <c r="I34" s="44"/>
      <c r="J34" s="44"/>
      <c r="K34" s="43"/>
      <c r="L34" s="43"/>
      <c r="M34" s="43"/>
      <c r="N34" s="43"/>
      <c r="O34" s="43"/>
      <c r="P34" s="43"/>
      <c r="Q34" s="43"/>
      <c r="R34" s="43"/>
      <c r="S34" s="43"/>
    </row>
    <row r="35" spans="1:19">
      <c r="A35" s="44"/>
      <c r="B35" s="44">
        <f t="shared" si="5"/>
        <v>106</v>
      </c>
      <c r="C35" s="44">
        <f t="shared" si="1"/>
        <v>21</v>
      </c>
      <c r="D35" s="45">
        <f t="shared" si="2"/>
        <v>1.4</v>
      </c>
      <c r="E35" s="46">
        <f t="shared" si="3"/>
        <v>0.91924334076622882</v>
      </c>
      <c r="F35" s="48">
        <f t="shared" si="4"/>
        <v>9.9818310423829913E-3</v>
      </c>
      <c r="G35" s="44"/>
      <c r="H35" s="44"/>
      <c r="I35" s="44"/>
      <c r="J35" s="44"/>
      <c r="K35" s="43"/>
      <c r="L35" s="43"/>
      <c r="M35" s="43"/>
      <c r="N35" s="43"/>
      <c r="O35" s="43"/>
      <c r="P35" s="43"/>
      <c r="Q35" s="43"/>
      <c r="R35" s="43"/>
      <c r="S35" s="43"/>
    </row>
    <row r="36" spans="1:19">
      <c r="A36" s="44"/>
      <c r="B36" s="44">
        <f t="shared" si="5"/>
        <v>109</v>
      </c>
      <c r="C36" s="44">
        <f t="shared" si="1"/>
        <v>24</v>
      </c>
      <c r="D36" s="45">
        <f t="shared" si="2"/>
        <v>1.6</v>
      </c>
      <c r="E36" s="46">
        <f t="shared" si="3"/>
        <v>0.94520070830044201</v>
      </c>
      <c r="F36" s="48">
        <f t="shared" si="4"/>
        <v>7.3947223119637025E-3</v>
      </c>
      <c r="G36" s="44"/>
      <c r="H36" s="44"/>
      <c r="I36" s="44"/>
      <c r="J36" s="44"/>
      <c r="K36" s="43"/>
      <c r="L36" s="43"/>
      <c r="M36" s="43"/>
      <c r="N36" s="43"/>
      <c r="O36" s="43"/>
      <c r="P36" s="43"/>
      <c r="Q36" s="43"/>
      <c r="R36" s="43"/>
      <c r="S36" s="43"/>
    </row>
    <row r="37" spans="1:19">
      <c r="A37" s="44"/>
      <c r="B37" s="44">
        <f t="shared" si="5"/>
        <v>112</v>
      </c>
      <c r="C37" s="44">
        <f t="shared" si="1"/>
        <v>27</v>
      </c>
      <c r="D37" s="45">
        <f t="shared" si="2"/>
        <v>1.8</v>
      </c>
      <c r="E37" s="46">
        <f t="shared" si="3"/>
        <v>0.96406968088707412</v>
      </c>
      <c r="F37" s="48">
        <f t="shared" si="4"/>
        <v>5.2633438867262777E-3</v>
      </c>
      <c r="G37" s="44"/>
      <c r="H37" s="44"/>
      <c r="I37" s="44"/>
      <c r="J37" s="44"/>
      <c r="K37" s="43"/>
      <c r="L37" s="43"/>
      <c r="M37" s="43"/>
      <c r="N37" s="43"/>
      <c r="O37" s="43"/>
      <c r="P37" s="43"/>
      <c r="Q37" s="43"/>
      <c r="R37" s="43"/>
      <c r="S37" s="43"/>
    </row>
    <row r="38" spans="1:19">
      <c r="A38" s="44"/>
      <c r="B38" s="44">
        <f t="shared" si="5"/>
        <v>115</v>
      </c>
      <c r="C38" s="44">
        <f t="shared" si="1"/>
        <v>30</v>
      </c>
      <c r="D38" s="45">
        <f t="shared" si="2"/>
        <v>2</v>
      </c>
      <c r="E38" s="46">
        <f t="shared" si="3"/>
        <v>0.97724986805182068</v>
      </c>
      <c r="F38" s="48">
        <f t="shared" si="4"/>
        <v>3.5993977675458709E-3</v>
      </c>
      <c r="G38" s="44"/>
      <c r="H38" s="44"/>
      <c r="I38" s="44"/>
      <c r="J38" s="44"/>
      <c r="K38" s="43"/>
      <c r="L38" s="43"/>
      <c r="M38" s="43"/>
      <c r="N38" s="43"/>
      <c r="O38" s="43"/>
      <c r="P38" s="43"/>
      <c r="Q38" s="43"/>
      <c r="R38" s="43"/>
      <c r="S38" s="43"/>
    </row>
    <row r="39" spans="1:19">
      <c r="A39" s="44"/>
      <c r="B39" s="44">
        <f t="shared" si="5"/>
        <v>118</v>
      </c>
      <c r="C39" s="44">
        <f t="shared" si="1"/>
        <v>33</v>
      </c>
      <c r="D39" s="45">
        <f t="shared" si="2"/>
        <v>2.2000000000000002</v>
      </c>
      <c r="E39" s="46">
        <f t="shared" si="3"/>
        <v>0.98609655248650141</v>
      </c>
      <c r="F39" s="48">
        <f t="shared" si="4"/>
        <v>2.3649728564154281E-3</v>
      </c>
      <c r="G39" s="44"/>
      <c r="H39" s="44"/>
      <c r="I39" s="44"/>
      <c r="J39" s="44"/>
      <c r="K39" s="43"/>
      <c r="L39" s="43"/>
      <c r="M39" s="43"/>
      <c r="N39" s="43"/>
      <c r="O39" s="43"/>
      <c r="P39" s="43"/>
      <c r="Q39" s="43"/>
      <c r="R39" s="43"/>
      <c r="S39" s="43"/>
    </row>
    <row r="40" spans="1:19">
      <c r="A40" s="44"/>
      <c r="B40" s="44">
        <f t="shared" si="5"/>
        <v>121</v>
      </c>
      <c r="C40" s="44">
        <f t="shared" si="1"/>
        <v>36</v>
      </c>
      <c r="D40" s="45">
        <f t="shared" si="2"/>
        <v>2.4</v>
      </c>
      <c r="E40" s="46">
        <f t="shared" si="3"/>
        <v>0.99180246407540396</v>
      </c>
      <c r="F40" s="48">
        <f t="shared" si="4"/>
        <v>1.49296868632286E-3</v>
      </c>
      <c r="G40" s="44"/>
      <c r="H40" s="44"/>
      <c r="I40" s="44"/>
      <c r="J40" s="44"/>
      <c r="K40" s="43"/>
      <c r="L40" s="43"/>
      <c r="M40" s="43"/>
      <c r="N40" s="43"/>
      <c r="O40" s="43"/>
      <c r="P40" s="43"/>
      <c r="Q40" s="43"/>
      <c r="R40" s="43"/>
      <c r="S40" s="43"/>
    </row>
    <row r="41" spans="1:19">
      <c r="A41" s="44"/>
      <c r="B41" s="44">
        <f t="shared" si="5"/>
        <v>124</v>
      </c>
      <c r="C41" s="44">
        <f t="shared" si="1"/>
        <v>39</v>
      </c>
      <c r="D41" s="45">
        <f t="shared" si="2"/>
        <v>2.6</v>
      </c>
      <c r="E41" s="46">
        <f t="shared" si="3"/>
        <v>0.99533881197628127</v>
      </c>
      <c r="F41" s="48">
        <f t="shared" si="4"/>
        <v>9.0553128224570749E-4</v>
      </c>
      <c r="G41" s="44"/>
      <c r="H41" s="44"/>
      <c r="I41" s="44"/>
      <c r="J41" s="44"/>
      <c r="K41" s="43"/>
      <c r="L41" s="43"/>
      <c r="M41" s="43"/>
      <c r="N41" s="43"/>
      <c r="O41" s="43"/>
      <c r="P41" s="43"/>
      <c r="Q41" s="43"/>
      <c r="R41" s="43"/>
      <c r="S41" s="43"/>
    </row>
    <row r="42" spans="1:19">
      <c r="A42" s="44"/>
      <c r="B42" s="44">
        <f t="shared" si="5"/>
        <v>127</v>
      </c>
      <c r="C42" s="44">
        <f t="shared" si="1"/>
        <v>42</v>
      </c>
      <c r="D42" s="45">
        <f t="shared" si="2"/>
        <v>2.8</v>
      </c>
      <c r="E42" s="46">
        <f t="shared" si="3"/>
        <v>0.99744486966957213</v>
      </c>
      <c r="F42" s="48">
        <f t="shared" si="4"/>
        <v>5.2769677219866452E-4</v>
      </c>
      <c r="G42" s="44"/>
      <c r="H42" s="44"/>
      <c r="I42" s="44"/>
      <c r="J42" s="44"/>
      <c r="K42" s="43"/>
      <c r="L42" s="43"/>
      <c r="M42" s="43"/>
      <c r="N42" s="43"/>
      <c r="O42" s="43"/>
      <c r="P42" s="43"/>
      <c r="Q42" s="43"/>
      <c r="R42" s="43"/>
      <c r="S42" s="43"/>
    </row>
    <row r="43" spans="1:19">
      <c r="A43" s="44"/>
      <c r="B43" s="44">
        <f t="shared" si="5"/>
        <v>130</v>
      </c>
      <c r="C43" s="44">
        <f t="shared" si="1"/>
        <v>45</v>
      </c>
      <c r="D43" s="45">
        <f t="shared" si="2"/>
        <v>3</v>
      </c>
      <c r="E43" s="46">
        <f t="shared" si="3"/>
        <v>0.9986501019683699</v>
      </c>
      <c r="F43" s="48">
        <f t="shared" si="4"/>
        <v>2.9545656079586714E-4</v>
      </c>
      <c r="G43" s="44"/>
      <c r="H43" s="44"/>
      <c r="I43" s="44"/>
      <c r="J43" s="44"/>
      <c r="K43" s="43"/>
      <c r="L43" s="43"/>
      <c r="M43" s="43"/>
      <c r="N43" s="43"/>
      <c r="O43" s="43"/>
      <c r="P43" s="43"/>
      <c r="Q43" s="43"/>
      <c r="R43" s="43"/>
      <c r="S43" s="43"/>
    </row>
    <row r="44" spans="1:19">
      <c r="A44" s="44"/>
      <c r="B44" s="44">
        <f t="shared" si="5"/>
        <v>133</v>
      </c>
      <c r="C44" s="44">
        <f t="shared" si="1"/>
        <v>48</v>
      </c>
      <c r="D44" s="45">
        <f t="shared" si="2"/>
        <v>3.2</v>
      </c>
      <c r="E44" s="46">
        <f t="shared" si="3"/>
        <v>0.99931286206208414</v>
      </c>
      <c r="F44" s="48">
        <f t="shared" si="4"/>
        <v>1.5893921343098936E-4</v>
      </c>
      <c r="G44" s="44"/>
      <c r="H44" s="44"/>
      <c r="I44" s="44"/>
      <c r="J44" s="44"/>
      <c r="K44" s="43"/>
      <c r="L44" s="43"/>
      <c r="M44" s="43"/>
      <c r="N44" s="43"/>
      <c r="O44" s="43"/>
      <c r="P44" s="43"/>
      <c r="Q44" s="43"/>
      <c r="R44" s="43"/>
      <c r="S44" s="43"/>
    </row>
    <row r="45" spans="1:19">
      <c r="A45" s="44"/>
      <c r="B45" s="44">
        <f t="shared" si="5"/>
        <v>136</v>
      </c>
      <c r="C45" s="44">
        <f t="shared" si="1"/>
        <v>51</v>
      </c>
      <c r="D45" s="45">
        <f t="shared" si="2"/>
        <v>3.4</v>
      </c>
      <c r="E45" s="46">
        <f t="shared" si="3"/>
        <v>0.99966307073432348</v>
      </c>
      <c r="F45" s="48">
        <f t="shared" si="4"/>
        <v>8.2147944564867997E-5</v>
      </c>
      <c r="G45" s="44"/>
      <c r="H45" s="44"/>
      <c r="I45" s="44"/>
      <c r="J45" s="44"/>
      <c r="K45" s="43"/>
      <c r="L45" s="43"/>
      <c r="M45" s="43"/>
      <c r="N45" s="43"/>
      <c r="O45" s="43"/>
      <c r="P45" s="43"/>
      <c r="Q45" s="43"/>
      <c r="R45" s="43"/>
      <c r="S45" s="43"/>
    </row>
    <row r="46" spans="1:19">
      <c r="A46" s="44"/>
      <c r="B46" s="44">
        <f t="shared" si="5"/>
        <v>139</v>
      </c>
      <c r="C46" s="44">
        <f t="shared" si="1"/>
        <v>54</v>
      </c>
      <c r="D46" s="45">
        <f t="shared" si="2"/>
        <v>3.6</v>
      </c>
      <c r="E46" s="46">
        <f t="shared" si="3"/>
        <v>0.99984089140984223</v>
      </c>
      <c r="F46" s="48">
        <f t="shared" si="4"/>
        <v>4.0793462007584798E-5</v>
      </c>
      <c r="G46" s="44"/>
      <c r="H46" s="44"/>
      <c r="I46" s="44"/>
      <c r="J46" s="44"/>
      <c r="K46" s="43"/>
      <c r="L46" s="43"/>
      <c r="M46" s="43"/>
      <c r="N46" s="43"/>
      <c r="O46" s="43"/>
      <c r="P46" s="43"/>
      <c r="Q46" s="43"/>
      <c r="R46" s="43"/>
      <c r="S46" s="43"/>
    </row>
    <row r="47" spans="1:19">
      <c r="A47" s="44"/>
      <c r="B47" s="44">
        <f t="shared" si="5"/>
        <v>142</v>
      </c>
      <c r="C47" s="44">
        <f t="shared" si="1"/>
        <v>57</v>
      </c>
      <c r="D47" s="45">
        <f t="shared" si="2"/>
        <v>3.8</v>
      </c>
      <c r="E47" s="46">
        <f t="shared" si="3"/>
        <v>0.99992765195607558</v>
      </c>
      <c r="F47" s="48">
        <f t="shared" si="4"/>
        <v>1.946312838609735E-5</v>
      </c>
      <c r="G47" s="44"/>
      <c r="H47" s="44"/>
      <c r="I47" s="44"/>
      <c r="J47" s="44"/>
      <c r="K47" s="43"/>
      <c r="L47" s="43"/>
      <c r="M47" s="43"/>
      <c r="N47" s="43"/>
      <c r="O47" s="43"/>
      <c r="P47" s="43"/>
      <c r="Q47" s="43"/>
      <c r="R47" s="43"/>
      <c r="S47" s="43"/>
    </row>
    <row r="48" spans="1:19">
      <c r="A48" s="44"/>
      <c r="B48" s="44">
        <f t="shared" si="5"/>
        <v>145</v>
      </c>
      <c r="C48" s="44">
        <f t="shared" si="1"/>
        <v>60</v>
      </c>
      <c r="D48" s="45">
        <f t="shared" si="2"/>
        <v>4</v>
      </c>
      <c r="E48" s="46">
        <f t="shared" si="3"/>
        <v>0.99996832875816322</v>
      </c>
      <c r="F48" s="48">
        <f t="shared" si="4"/>
        <v>8.9220150509923572E-6</v>
      </c>
      <c r="G48" s="44"/>
      <c r="H48" s="44"/>
      <c r="I48" s="44"/>
      <c r="J48" s="44"/>
      <c r="K48" s="43"/>
      <c r="L48" s="43"/>
      <c r="M48" s="43"/>
      <c r="N48" s="43"/>
      <c r="O48" s="43"/>
      <c r="P48" s="43"/>
      <c r="Q48" s="43"/>
      <c r="R48" s="43"/>
      <c r="S48" s="43"/>
    </row>
    <row r="49" spans="1:19">
      <c r="A49" s="44"/>
      <c r="B49" s="44"/>
      <c r="C49" s="44"/>
      <c r="D49" s="44"/>
      <c r="E49" s="44"/>
      <c r="F49" s="49"/>
      <c r="G49" s="44"/>
      <c r="H49" s="44"/>
      <c r="I49" s="44"/>
      <c r="J49" s="44"/>
      <c r="K49" s="43"/>
      <c r="L49" s="43"/>
      <c r="M49" s="43"/>
      <c r="N49" s="43"/>
      <c r="O49" s="43"/>
      <c r="P49" s="43"/>
      <c r="Q49" s="43"/>
      <c r="R49" s="43"/>
      <c r="S49" s="43"/>
    </row>
    <row r="50" spans="1:19">
      <c r="A50" s="44"/>
      <c r="B50" s="44"/>
      <c r="C50" s="44"/>
      <c r="D50" s="44"/>
      <c r="E50" s="44"/>
      <c r="F50" s="49"/>
      <c r="G50" s="44"/>
      <c r="H50" s="44"/>
      <c r="I50" s="44"/>
      <c r="J50" s="44"/>
      <c r="K50" s="43"/>
      <c r="L50" s="43"/>
      <c r="M50" s="43"/>
      <c r="N50" s="43"/>
      <c r="O50" s="43"/>
      <c r="P50" s="43"/>
      <c r="Q50" s="43"/>
      <c r="R50" s="43"/>
      <c r="S50" s="43"/>
    </row>
    <row r="51" spans="1:19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3"/>
      <c r="L51" s="43"/>
      <c r="M51" s="43"/>
      <c r="N51" s="43"/>
      <c r="O51" s="43"/>
      <c r="P51" s="43"/>
      <c r="Q51" s="43"/>
      <c r="R51" s="43"/>
      <c r="S51" s="43"/>
    </row>
    <row r="52" spans="1:19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3"/>
      <c r="L52" s="43"/>
      <c r="M52" s="43"/>
      <c r="N52" s="43"/>
      <c r="O52" s="43"/>
      <c r="P52" s="43"/>
      <c r="Q52" s="43"/>
      <c r="R52" s="43"/>
      <c r="S52" s="43"/>
    </row>
  </sheetData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workbookViewId="0">
      <selection activeCell="D20" sqref="D20"/>
    </sheetView>
  </sheetViews>
  <sheetFormatPr defaultRowHeight="15"/>
  <cols>
    <col min="1" max="1" width="36.28515625" customWidth="1"/>
    <col min="8" max="8" width="84.140625" bestFit="1" customWidth="1"/>
  </cols>
  <sheetData>
    <row r="1" spans="1:17">
      <c r="A1" t="s">
        <v>37</v>
      </c>
      <c r="C1" s="5">
        <v>800</v>
      </c>
      <c r="H1" t="s">
        <v>38</v>
      </c>
      <c r="J1" s="19" t="s">
        <v>42</v>
      </c>
      <c r="N1" s="19"/>
      <c r="P1" s="19"/>
      <c r="Q1" s="19"/>
    </row>
    <row r="2" spans="1:17">
      <c r="A2" t="s">
        <v>56</v>
      </c>
      <c r="C2" s="5">
        <v>12</v>
      </c>
      <c r="H2" t="s">
        <v>60</v>
      </c>
      <c r="J2" s="19">
        <v>1.645</v>
      </c>
      <c r="N2" s="19"/>
      <c r="P2" s="19"/>
      <c r="Q2" s="19"/>
    </row>
    <row r="3" spans="1:17">
      <c r="A3" t="s">
        <v>59</v>
      </c>
      <c r="C3" s="5">
        <v>1</v>
      </c>
      <c r="J3" s="19">
        <v>1.96</v>
      </c>
      <c r="N3" s="19"/>
      <c r="P3" s="19"/>
      <c r="Q3" s="19"/>
    </row>
    <row r="4" spans="1:17">
      <c r="J4" s="19">
        <v>2.5760000000000001</v>
      </c>
      <c r="N4" s="19"/>
      <c r="P4" s="19"/>
      <c r="Q4" s="19"/>
    </row>
    <row r="5" spans="1:17">
      <c r="N5" s="19"/>
      <c r="O5" s="19"/>
      <c r="P5" s="19"/>
      <c r="Q5" s="19"/>
    </row>
    <row r="6" spans="1:17">
      <c r="A6" t="s">
        <v>39</v>
      </c>
      <c r="C6">
        <f>C2/(SQRT(C3))</f>
        <v>12</v>
      </c>
      <c r="H6" t="s">
        <v>40</v>
      </c>
      <c r="N6" s="19"/>
      <c r="O6" s="19"/>
      <c r="P6" s="19"/>
      <c r="Q6" s="19"/>
    </row>
    <row r="7" spans="1:17">
      <c r="N7" s="19"/>
      <c r="O7" s="19"/>
      <c r="P7" s="19"/>
      <c r="Q7" s="19"/>
    </row>
    <row r="8" spans="1:17">
      <c r="N8" s="19"/>
      <c r="O8" s="19"/>
      <c r="P8" s="19"/>
      <c r="Q8" s="19"/>
    </row>
    <row r="9" spans="1:17">
      <c r="N9" s="19"/>
      <c r="O9" s="19"/>
      <c r="P9" s="19"/>
      <c r="Q9" s="19"/>
    </row>
    <row r="10" spans="1:17">
      <c r="A10" s="12" t="s">
        <v>41</v>
      </c>
      <c r="B10" s="12"/>
      <c r="C10" s="12" t="s">
        <v>43</v>
      </c>
      <c r="D10" s="12" t="s">
        <v>44</v>
      </c>
      <c r="N10" s="19"/>
      <c r="O10" s="19"/>
      <c r="P10" s="19"/>
      <c r="Q10" s="19"/>
    </row>
    <row r="11" spans="1:17">
      <c r="A11" s="22">
        <v>0.1</v>
      </c>
      <c r="B11" s="12"/>
      <c r="C11" s="25">
        <f>C1-J2*C6</f>
        <v>780.26</v>
      </c>
      <c r="D11" s="18">
        <f>C1+J2*C6</f>
        <v>819.74</v>
      </c>
      <c r="N11" s="19"/>
      <c r="O11" s="19"/>
      <c r="P11" s="19"/>
      <c r="Q11" s="19"/>
    </row>
    <row r="12" spans="1:17">
      <c r="A12" s="22">
        <v>0.05</v>
      </c>
      <c r="B12" s="12"/>
      <c r="C12" s="18">
        <f>C1-C6*J3</f>
        <v>776.48</v>
      </c>
      <c r="D12" s="18">
        <f>C1+J3*C6</f>
        <v>823.52</v>
      </c>
    </row>
    <row r="13" spans="1:17">
      <c r="A13" s="22">
        <v>0.01</v>
      </c>
      <c r="B13" s="12"/>
      <c r="C13" s="18">
        <f>C1-C6*J4</f>
        <v>769.08799999999997</v>
      </c>
      <c r="D13" s="18">
        <f>C1+C6*J4</f>
        <v>830.91200000000003</v>
      </c>
      <c r="H13" t="s">
        <v>52</v>
      </c>
    </row>
    <row r="15" spans="1:17">
      <c r="H15" t="s">
        <v>53</v>
      </c>
    </row>
    <row r="17" spans="8:8">
      <c r="H17" t="s">
        <v>54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A8" sqref="A8"/>
    </sheetView>
  </sheetViews>
  <sheetFormatPr defaultRowHeight="15"/>
  <cols>
    <col min="1" max="1" width="40.42578125" bestFit="1" customWidth="1"/>
    <col min="2" max="2" width="12.5703125" bestFit="1" customWidth="1"/>
  </cols>
  <sheetData>
    <row r="1" spans="1:14">
      <c r="A1" t="s">
        <v>45</v>
      </c>
      <c r="N1" s="19" t="s">
        <v>42</v>
      </c>
    </row>
    <row r="2" spans="1:14">
      <c r="N2" s="19">
        <v>1.645</v>
      </c>
    </row>
    <row r="3" spans="1:14">
      <c r="N3" s="19">
        <v>1.96</v>
      </c>
    </row>
    <row r="4" spans="1:14">
      <c r="A4" t="s">
        <v>46</v>
      </c>
      <c r="B4" s="12">
        <v>1412</v>
      </c>
      <c r="F4" t="s">
        <v>47</v>
      </c>
      <c r="N4" s="19">
        <v>2.5760000000000001</v>
      </c>
    </row>
    <row r="5" spans="1:14">
      <c r="A5" t="s">
        <v>48</v>
      </c>
      <c r="B5" s="24">
        <v>0.4</v>
      </c>
      <c r="F5" t="s">
        <v>49</v>
      </c>
    </row>
    <row r="8" spans="1:14">
      <c r="A8" t="s">
        <v>50</v>
      </c>
      <c r="B8" s="20">
        <f>SQRT((B5*(1-B5))/B4)</f>
        <v>1.3037318412468952E-2</v>
      </c>
    </row>
    <row r="11" spans="1:14">
      <c r="A11" t="s">
        <v>75</v>
      </c>
      <c r="C11" t="s">
        <v>43</v>
      </c>
      <c r="D11" t="s">
        <v>44</v>
      </c>
    </row>
    <row r="12" spans="1:14" ht="23.25">
      <c r="A12" s="3">
        <v>0.1</v>
      </c>
      <c r="C12" s="10">
        <f>$B$5-N2*$B$8</f>
        <v>0.37855361121148862</v>
      </c>
      <c r="D12" s="10">
        <f>$B$5+$B$8*N2</f>
        <v>0.42144638878851143</v>
      </c>
      <c r="H12" s="21" t="s">
        <v>55</v>
      </c>
    </row>
    <row r="13" spans="1:14" ht="23.25">
      <c r="A13" s="3">
        <v>0.05</v>
      </c>
      <c r="C13" s="10">
        <f t="shared" ref="C13:C14" si="0">$B$5-N3*$B$8</f>
        <v>0.37444685591156091</v>
      </c>
      <c r="D13" s="10">
        <f t="shared" ref="D13:D14" si="1">$B$5+$B$8*N3</f>
        <v>0.42555314408843914</v>
      </c>
      <c r="H13" s="21" t="s">
        <v>51</v>
      </c>
    </row>
    <row r="14" spans="1:14" ht="23.25">
      <c r="A14" s="3">
        <v>0.01</v>
      </c>
      <c r="C14" s="10">
        <f t="shared" si="0"/>
        <v>0.36641586776947999</v>
      </c>
      <c r="D14" s="10">
        <f t="shared" si="1"/>
        <v>0.43358413223052006</v>
      </c>
      <c r="H14" s="21" t="s">
        <v>57</v>
      </c>
    </row>
    <row r="17" spans="1:1">
      <c r="A17" s="23" t="str">
        <f>IF(B4*B5&gt;5,"","ADVARSEL N*P FOR LILLE")</f>
        <v/>
      </c>
    </row>
    <row r="18" spans="1:1">
      <c r="A18" s="23" t="str">
        <f>IF(B4*(1-B5)&gt;5,"","ADVARSEL N*(1-P) FOR LILLE")</f>
        <v/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E25" sqref="E25"/>
    </sheetView>
  </sheetViews>
  <sheetFormatPr defaultRowHeight="15"/>
  <cols>
    <col min="2" max="2" width="14.5703125" bestFit="1" customWidth="1"/>
    <col min="3" max="3" width="11" bestFit="1" customWidth="1"/>
    <col min="4" max="4" width="9.42578125" bestFit="1" customWidth="1"/>
    <col min="5" max="5" width="19.42578125" bestFit="1" customWidth="1"/>
    <col min="9" max="9" width="23.5703125" bestFit="1" customWidth="1"/>
  </cols>
  <sheetData>
    <row r="1" spans="1:9">
      <c r="A1" t="s">
        <v>58</v>
      </c>
    </row>
    <row r="3" spans="1:9">
      <c r="C3" t="s">
        <v>18</v>
      </c>
      <c r="D3" t="s">
        <v>19</v>
      </c>
      <c r="E3" t="s">
        <v>21</v>
      </c>
    </row>
    <row r="4" spans="1:9">
      <c r="B4" t="s">
        <v>76</v>
      </c>
      <c r="C4">
        <v>458</v>
      </c>
      <c r="D4">
        <f>0.93*500</f>
        <v>465</v>
      </c>
      <c r="E4">
        <f>((C4-D4)^2/D4)</f>
        <v>0.10537634408602151</v>
      </c>
      <c r="I4" t="s">
        <v>20</v>
      </c>
    </row>
    <row r="5" spans="1:9">
      <c r="B5" t="s">
        <v>77</v>
      </c>
      <c r="C5">
        <v>30</v>
      </c>
      <c r="D5">
        <f>0.05*500</f>
        <v>25</v>
      </c>
      <c r="E5">
        <f t="shared" ref="E5:E6" si="0">((C5-D5)^2/D5)</f>
        <v>1</v>
      </c>
      <c r="I5" s="10">
        <f>_xlfn.CHISQ.TEST(C4:C9,D4:D9)</f>
        <v>0.91244855315916173</v>
      </c>
    </row>
    <row r="6" spans="1:9">
      <c r="B6" t="s">
        <v>78</v>
      </c>
      <c r="C6">
        <v>12</v>
      </c>
      <c r="D6">
        <f>0.02*500</f>
        <v>10</v>
      </c>
      <c r="E6">
        <f t="shared" si="0"/>
        <v>0.4</v>
      </c>
    </row>
    <row r="11" spans="1:9">
      <c r="C11">
        <f>SUM(C4:C10)</f>
        <v>500</v>
      </c>
      <c r="D11">
        <f>SUM(D4:D10)</f>
        <v>500</v>
      </c>
      <c r="E11" s="11">
        <f>SUM(E4:E9)</f>
        <v>1.5053763440860215</v>
      </c>
    </row>
    <row r="16" spans="1:9">
      <c r="E16" s="23" t="s">
        <v>73</v>
      </c>
    </row>
    <row r="17" spans="11:11">
      <c r="K17" t="s"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D29" sqref="D29"/>
    </sheetView>
  </sheetViews>
  <sheetFormatPr defaultRowHeight="15"/>
  <cols>
    <col min="1" max="1" width="77.42578125" bestFit="1" customWidth="1"/>
    <col min="2" max="2" width="12.140625" bestFit="1" customWidth="1"/>
    <col min="3" max="3" width="9.5703125" bestFit="1" customWidth="1"/>
    <col min="8" max="8" width="17.85546875" bestFit="1" customWidth="1"/>
  </cols>
  <sheetData>
    <row r="1" spans="1:7">
      <c r="A1" t="s">
        <v>22</v>
      </c>
    </row>
    <row r="3" spans="1:7">
      <c r="B3" s="50" t="s">
        <v>30</v>
      </c>
      <c r="C3" s="50"/>
      <c r="D3" s="50"/>
    </row>
    <row r="5" spans="1:7">
      <c r="A5" t="s">
        <v>23</v>
      </c>
      <c r="B5" t="s">
        <v>24</v>
      </c>
      <c r="C5" t="s">
        <v>25</v>
      </c>
      <c r="D5" t="s">
        <v>29</v>
      </c>
    </row>
    <row r="6" spans="1:7">
      <c r="A6" t="s">
        <v>26</v>
      </c>
      <c r="B6" s="12">
        <v>256</v>
      </c>
      <c r="C6" s="12">
        <v>74</v>
      </c>
      <c r="D6">
        <f>SUM(B6:C6)</f>
        <v>330</v>
      </c>
    </row>
    <row r="7" spans="1:7">
      <c r="A7" t="s">
        <v>27</v>
      </c>
      <c r="B7" s="12">
        <v>41</v>
      </c>
      <c r="C7" s="12">
        <v>42</v>
      </c>
      <c r="D7">
        <f>SUM(B7:C7)</f>
        <v>83</v>
      </c>
    </row>
    <row r="8" spans="1:7">
      <c r="A8" t="s">
        <v>28</v>
      </c>
      <c r="B8" s="12">
        <v>66</v>
      </c>
      <c r="C8" s="12">
        <v>34</v>
      </c>
      <c r="D8">
        <f>SUM(B8:C8)</f>
        <v>100</v>
      </c>
    </row>
    <row r="9" spans="1:7">
      <c r="B9">
        <f>SUM(B6:B8)</f>
        <v>363</v>
      </c>
      <c r="C9">
        <f>SUM(C6:C8)</f>
        <v>150</v>
      </c>
      <c r="D9">
        <f>SUM(B9:C9)</f>
        <v>513</v>
      </c>
    </row>
    <row r="11" spans="1:7">
      <c r="A11" t="s">
        <v>31</v>
      </c>
    </row>
    <row r="13" spans="1:7">
      <c r="B13" s="50" t="s">
        <v>32</v>
      </c>
      <c r="C13" s="50"/>
      <c r="D13" s="50"/>
    </row>
    <row r="15" spans="1:7">
      <c r="A15" t="s">
        <v>23</v>
      </c>
      <c r="B15" t="s">
        <v>24</v>
      </c>
      <c r="C15" t="s">
        <v>25</v>
      </c>
    </row>
    <row r="16" spans="1:7">
      <c r="A16" t="s">
        <v>26</v>
      </c>
      <c r="B16" s="18">
        <f>D16/D19*B19</f>
        <v>233.50877192982455</v>
      </c>
      <c r="C16" s="18">
        <f>D16/D19*C19</f>
        <v>96.491228070175438</v>
      </c>
      <c r="D16">
        <v>330</v>
      </c>
      <c r="G16" t="s">
        <v>33</v>
      </c>
    </row>
    <row r="17" spans="1:9">
      <c r="A17" t="s">
        <v>27</v>
      </c>
      <c r="B17" s="18">
        <f>D17/D19*B19</f>
        <v>58.730994152046783</v>
      </c>
      <c r="C17" s="18">
        <f>D17/D19*C19</f>
        <v>24.269005847953213</v>
      </c>
      <c r="D17">
        <v>83</v>
      </c>
    </row>
    <row r="18" spans="1:9">
      <c r="A18" t="s">
        <v>28</v>
      </c>
      <c r="B18" s="18">
        <f>D18/D19*B19</f>
        <v>70.760233918128648</v>
      </c>
      <c r="C18" s="18">
        <f>D18/D19*C19</f>
        <v>29.239766081871345</v>
      </c>
      <c r="D18">
        <v>100</v>
      </c>
    </row>
    <row r="19" spans="1:9">
      <c r="B19">
        <v>363</v>
      </c>
      <c r="C19">
        <v>150</v>
      </c>
      <c r="D19">
        <f>SUM(D16:D18)</f>
        <v>513</v>
      </c>
    </row>
    <row r="20" spans="1:9">
      <c r="H20" t="s">
        <v>34</v>
      </c>
    </row>
    <row r="21" spans="1:9">
      <c r="H21">
        <f t="shared" ref="H21:I23" si="0">(B6-B16)^2/B16</f>
        <v>2.1663226435736251</v>
      </c>
      <c r="I21">
        <f t="shared" si="0"/>
        <v>5.2425007974481659</v>
      </c>
    </row>
    <row r="22" spans="1:9">
      <c r="A22" t="s">
        <v>35</v>
      </c>
      <c r="B22">
        <f>SUM(H25:I25)</f>
        <v>26.811349937088707</v>
      </c>
      <c r="H22">
        <f t="shared" si="0"/>
        <v>5.3530194432944178</v>
      </c>
      <c r="I22">
        <f t="shared" si="0"/>
        <v>12.954307052772497</v>
      </c>
    </row>
    <row r="23" spans="1:9">
      <c r="H23">
        <f t="shared" si="0"/>
        <v>0.32023391812865409</v>
      </c>
      <c r="I23">
        <f t="shared" si="0"/>
        <v>0.77496608187134508</v>
      </c>
    </row>
    <row r="24" spans="1:9">
      <c r="A24" t="s">
        <v>36</v>
      </c>
      <c r="B24" s="4">
        <f>CHITEST(B6:C8,B16:C18)</f>
        <v>1.5065700686908877E-6</v>
      </c>
    </row>
    <row r="25" spans="1:9">
      <c r="H25">
        <f>SUM(H21:H24)</f>
        <v>7.8395760049966974</v>
      </c>
      <c r="I25">
        <f>SUM(I21:I24)</f>
        <v>18.97177393209201</v>
      </c>
    </row>
  </sheetData>
  <mergeCells count="2">
    <mergeCell ref="B3:D3"/>
    <mergeCell ref="B13:D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sandsynlighed</vt:lpstr>
      <vt:lpstr>binomialfordeling</vt:lpstr>
      <vt:lpstr>normalfordeling</vt:lpstr>
      <vt:lpstr>konfidensinterval-normal</vt:lpstr>
      <vt:lpstr>konfidens-binomial</vt:lpstr>
      <vt:lpstr>chi-square-simpel</vt:lpstr>
      <vt:lpstr>chi-square-antalstabel</vt:lpstr>
      <vt:lpstr>Ark1</vt:lpstr>
    </vt:vector>
  </TitlesOfParts>
  <Company>Syddansk Unversitet - University of Southern Denmark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Sørensen</dc:creator>
  <cp:lastModifiedBy>Jan anders Sørensen</cp:lastModifiedBy>
  <dcterms:created xsi:type="dcterms:W3CDTF">2015-04-25T13:25:00Z</dcterms:created>
  <dcterms:modified xsi:type="dcterms:W3CDTF">2018-04-24T12:13:44Z</dcterms:modified>
</cp:coreProperties>
</file>